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ocuments\Theresa\Budget 2015\"/>
    </mc:Choice>
  </mc:AlternateContent>
  <bookViews>
    <workbookView xWindow="0" yWindow="0" windowWidth="15345" windowHeight="4650" firstSheet="20" activeTab="24"/>
  </bookViews>
  <sheets>
    <sheet name="BUDGET SUMMARY" sheetId="38" r:id="rId1"/>
    <sheet name="General Fund Revenues" sheetId="37" r:id="rId2"/>
    <sheet name="Elections" sheetId="36" r:id="rId3"/>
    <sheet name="Council" sheetId="2" r:id="rId4"/>
    <sheet name="Administration" sheetId="3" r:id="rId5"/>
    <sheet name="Police" sheetId="8" r:id="rId6"/>
    <sheet name="Fire" sheetId="7" r:id="rId7"/>
    <sheet name="Ambulance" sheetId="53" r:id="rId8"/>
    <sheet name="Emergency Mgmt" sheetId="56" r:id="rId9"/>
    <sheet name="Animal Control" sheetId="45" r:id="rId10"/>
    <sheet name="Streets" sheetId="5" r:id="rId11"/>
    <sheet name="Parks" sheetId="4" r:id="rId12"/>
    <sheet name="SWIM Center" sheetId="13" r:id="rId13"/>
    <sheet name="Recreation" sheetId="12" r:id="rId14"/>
    <sheet name="Old Pool" sheetId="46" r:id="rId15"/>
    <sheet name="Special Revenue Funds-Fest Bldg" sheetId="23" r:id="rId16"/>
    <sheet name="EDA" sheetId="54" r:id="rId17"/>
    <sheet name="Tax Abatement" sheetId="52" r:id="rId18"/>
    <sheet name="Street Infrastructure" sheetId="59" r:id="rId19"/>
    <sheet name="Capital Equipment" sheetId="58" r:id="rId20"/>
    <sheet name="Electric Infrastructure" sheetId="60" r:id="rId21"/>
    <sheet name="Contingency" sheetId="57" r:id="rId22"/>
    <sheet name="Sewer Infrastructure" sheetId="61" r:id="rId23"/>
    <sheet name="Water Infrastructure" sheetId="62" r:id="rId24"/>
    <sheet name="Cable TV" sheetId="10" r:id="rId25"/>
    <sheet name="Enterprise Funds-Electric" sheetId="21" r:id="rId26"/>
    <sheet name="Enterprise Funds-Water" sheetId="20" r:id="rId27"/>
    <sheet name="Enterprise Funds-Sewer" sheetId="19" r:id="rId28"/>
    <sheet name="Library" sheetId="11" r:id="rId29"/>
    <sheet name="Enterprise Funds-Liquor Store" sheetId="18" r:id="rId30"/>
    <sheet name="Debt Service Summary" sheetId="55" r:id="rId31"/>
    <sheet name="GO 2005A" sheetId="40" r:id="rId32"/>
    <sheet name="TIF GO 2007A" sheetId="42" r:id="rId33"/>
    <sheet name="Pool Bonds 2012" sheetId="41" r:id="rId34"/>
    <sheet name="Hwy 44 Bond 2013" sheetId="51" r:id="rId35"/>
  </sheets>
  <calcPr calcId="152511"/>
</workbook>
</file>

<file path=xl/calcChain.xml><?xml version="1.0" encoding="utf-8"?>
<calcChain xmlns="http://schemas.openxmlformats.org/spreadsheetml/2006/main">
  <c r="E7" i="38" l="1"/>
  <c r="E8" i="38"/>
  <c r="C66" i="19" l="1"/>
  <c r="C65" i="19"/>
  <c r="D81" i="19"/>
  <c r="E79" i="20"/>
  <c r="D90" i="21"/>
  <c r="B7" i="58"/>
  <c r="C7" i="59"/>
  <c r="D6" i="3"/>
  <c r="C8" i="51" l="1"/>
  <c r="G15" i="21" l="1"/>
  <c r="D15" i="21"/>
  <c r="J3" i="38"/>
  <c r="C8" i="62" l="1"/>
  <c r="C8" i="61"/>
  <c r="C8" i="60"/>
  <c r="D25" i="18" l="1"/>
  <c r="C22" i="19"/>
  <c r="D24" i="20"/>
  <c r="C27" i="21"/>
  <c r="D14" i="5"/>
  <c r="D14" i="8"/>
  <c r="C15" i="3"/>
  <c r="D17" i="11" l="1"/>
  <c r="D16" i="11"/>
  <c r="D15" i="11"/>
  <c r="D54" i="11"/>
  <c r="D19" i="11"/>
  <c r="D63" i="11" l="1"/>
  <c r="M8" i="20"/>
  <c r="M7" i="20"/>
  <c r="G51" i="37" l="1"/>
  <c r="I57" i="37"/>
  <c r="H57" i="37"/>
  <c r="G57" i="37"/>
  <c r="F57" i="37"/>
  <c r="I9" i="37"/>
  <c r="H9" i="37"/>
  <c r="G9" i="37"/>
  <c r="F9" i="37"/>
  <c r="G5" i="37"/>
  <c r="F5" i="37"/>
  <c r="E9" i="37"/>
  <c r="D9" i="37"/>
  <c r="D5" i="37"/>
  <c r="E51" i="37"/>
  <c r="D51" i="37"/>
  <c r="E57" i="37"/>
  <c r="D57" i="37"/>
  <c r="C57" i="37" l="1"/>
  <c r="A12" i="38" s="1"/>
  <c r="C51" i="37"/>
  <c r="C9" i="37"/>
  <c r="D16" i="23"/>
  <c r="D15" i="23"/>
  <c r="D14" i="23"/>
  <c r="D89" i="18"/>
  <c r="D24" i="18"/>
  <c r="D22" i="18"/>
  <c r="D21" i="18"/>
  <c r="D20" i="18"/>
  <c r="D13" i="10"/>
  <c r="D32" i="10" s="1"/>
  <c r="D12" i="10"/>
  <c r="D11" i="10"/>
  <c r="A10" i="38" l="1"/>
  <c r="C21" i="19"/>
  <c r="D23" i="20"/>
  <c r="C26" i="21"/>
  <c r="D13" i="5"/>
  <c r="D14" i="18" l="1"/>
  <c r="C24" i="21"/>
  <c r="C23" i="21"/>
  <c r="C22" i="21"/>
  <c r="E13" i="20"/>
  <c r="D21" i="20"/>
  <c r="D20" i="20"/>
  <c r="D19" i="20"/>
  <c r="C19" i="19"/>
  <c r="C18" i="19"/>
  <c r="C17" i="19"/>
  <c r="C88" i="21" l="1"/>
  <c r="D9" i="11"/>
  <c r="C7" i="57" l="1"/>
  <c r="D62" i="20"/>
  <c r="D77" i="20" s="1"/>
  <c r="C63" i="19"/>
  <c r="C79" i="19" s="1"/>
  <c r="A36" i="38" l="1"/>
  <c r="A37" i="38"/>
  <c r="A35" i="38"/>
  <c r="J4" i="38"/>
  <c r="E4" i="55"/>
  <c r="E5" i="55"/>
  <c r="C23" i="51"/>
  <c r="C12" i="51"/>
  <c r="E6" i="55" s="1"/>
  <c r="A38" i="38" s="1"/>
  <c r="D20" i="41"/>
  <c r="D12" i="41"/>
  <c r="D8" i="41"/>
  <c r="D22" i="42"/>
  <c r="D24" i="42" s="1"/>
  <c r="D12" i="42"/>
  <c r="D8" i="42"/>
  <c r="E3" i="55"/>
  <c r="D18" i="40"/>
  <c r="D11" i="40"/>
  <c r="D8" i="40"/>
  <c r="E24" i="38"/>
  <c r="E23" i="38"/>
  <c r="E22" i="38"/>
  <c r="C4" i="52"/>
  <c r="E20" i="38"/>
  <c r="E18" i="38"/>
  <c r="D10" i="45"/>
  <c r="E13" i="38"/>
  <c r="E12" i="38"/>
  <c r="E11" i="38"/>
  <c r="E10" i="38"/>
  <c r="A7" i="38"/>
  <c r="C8" i="52" l="1"/>
  <c r="E21" i="38" s="1"/>
  <c r="C6" i="52"/>
  <c r="A39" i="38"/>
  <c r="J7" i="38"/>
  <c r="J10" i="38" s="1"/>
  <c r="D7" i="7"/>
  <c r="D6" i="7"/>
  <c r="E18" i="21" l="1"/>
  <c r="D9" i="12"/>
  <c r="D8" i="12"/>
  <c r="D33" i="12" s="1"/>
  <c r="E17" i="38" s="1"/>
  <c r="D8" i="13" l="1"/>
  <c r="D7" i="13"/>
  <c r="D71" i="13" s="1"/>
  <c r="E16" i="38" s="1"/>
  <c r="D48" i="4"/>
  <c r="E15" i="38" s="1"/>
  <c r="D67" i="5"/>
  <c r="E14" i="38" s="1"/>
  <c r="D11" i="5"/>
  <c r="D10" i="5"/>
  <c r="D9" i="5"/>
  <c r="D64" i="7"/>
  <c r="D10" i="8"/>
  <c r="D9" i="8"/>
  <c r="D8" i="8"/>
  <c r="D4" i="8"/>
  <c r="C6" i="2"/>
  <c r="C4" i="3"/>
  <c r="C11" i="3" s="1"/>
  <c r="C7" i="2"/>
  <c r="C10" i="3" l="1"/>
  <c r="C12" i="3"/>
  <c r="D11" i="8"/>
  <c r="D61" i="8" s="1"/>
  <c r="E9" i="38" s="1"/>
  <c r="D53" i="23"/>
  <c r="C75" i="3" l="1"/>
  <c r="E19" i="38"/>
  <c r="D7" i="23"/>
  <c r="C32" i="2"/>
  <c r="D16" i="36"/>
  <c r="E6" i="38" s="1"/>
  <c r="E28" i="38" l="1"/>
  <c r="D23" i="51"/>
  <c r="D12" i="51"/>
  <c r="E22" i="42"/>
  <c r="E12" i="42"/>
  <c r="E20" i="41"/>
  <c r="E12" i="41"/>
  <c r="E11" i="40"/>
  <c r="E18" i="40"/>
  <c r="E89" i="18"/>
  <c r="E14" i="18"/>
  <c r="E63" i="11"/>
  <c r="E9" i="11"/>
  <c r="D79" i="19"/>
  <c r="D11" i="19"/>
  <c r="E77" i="20"/>
  <c r="D88" i="21"/>
  <c r="E32" i="10"/>
  <c r="E6" i="10"/>
  <c r="E53" i="23"/>
  <c r="E9" i="23"/>
  <c r="E9" i="46" l="1"/>
  <c r="E33" i="12"/>
  <c r="E71" i="13"/>
  <c r="E48" i="4"/>
  <c r="E67" i="5"/>
  <c r="D9" i="56"/>
  <c r="E64" i="7" l="1"/>
  <c r="E61" i="8"/>
  <c r="D75" i="3"/>
  <c r="D32" i="2"/>
  <c r="E16" i="36"/>
  <c r="D59" i="37"/>
  <c r="G55" i="11"/>
  <c r="G51" i="11"/>
  <c r="G63" i="11" s="1"/>
  <c r="F20" i="21"/>
  <c r="F88" i="21" s="1"/>
  <c r="G19" i="8"/>
  <c r="G6" i="8"/>
  <c r="G61" i="8" s="1"/>
  <c r="F30" i="37"/>
  <c r="E7" i="19"/>
  <c r="C7" i="19" s="1"/>
  <c r="E6" i="19"/>
  <c r="C6" i="19" s="1"/>
  <c r="F9" i="20"/>
  <c r="F6" i="20"/>
  <c r="D6" i="20" s="1"/>
  <c r="F5" i="20"/>
  <c r="D5" i="20" s="1"/>
  <c r="E86" i="21"/>
  <c r="E6" i="21"/>
  <c r="C6" i="21" s="1"/>
  <c r="C15" i="21" s="1"/>
  <c r="E5" i="21"/>
  <c r="E15" i="21" s="1"/>
  <c r="C9" i="58"/>
  <c r="C16" i="58" s="1"/>
  <c r="G20" i="41"/>
  <c r="F23" i="51"/>
  <c r="F12" i="51"/>
  <c r="G22" i="42"/>
  <c r="G12" i="42"/>
  <c r="G12" i="41"/>
  <c r="G18" i="40"/>
  <c r="G11" i="40"/>
  <c r="G89" i="18"/>
  <c r="F25" i="18"/>
  <c r="F24" i="18"/>
  <c r="F21" i="18"/>
  <c r="F20" i="18"/>
  <c r="F22" i="18"/>
  <c r="G14" i="18"/>
  <c r="G9" i="11"/>
  <c r="F79" i="19"/>
  <c r="F11" i="19"/>
  <c r="G77" i="20"/>
  <c r="F24" i="20"/>
  <c r="F23" i="20"/>
  <c r="F21" i="20"/>
  <c r="F20" i="20"/>
  <c r="F19" i="20"/>
  <c r="G13" i="20"/>
  <c r="F15" i="21"/>
  <c r="F13" i="10"/>
  <c r="F12" i="10"/>
  <c r="G32" i="10"/>
  <c r="G53" i="23"/>
  <c r="G9" i="23"/>
  <c r="F12" i="23"/>
  <c r="G9" i="46"/>
  <c r="G33" i="12"/>
  <c r="F8" i="13"/>
  <c r="F7" i="13"/>
  <c r="G71" i="13"/>
  <c r="G48" i="4"/>
  <c r="G67" i="5"/>
  <c r="F14" i="5"/>
  <c r="F9" i="56"/>
  <c r="G64" i="7"/>
  <c r="J64" i="7"/>
  <c r="H64" i="7"/>
  <c r="F64" i="7"/>
  <c r="F9" i="8"/>
  <c r="F8" i="8"/>
  <c r="F11" i="8"/>
  <c r="F6" i="8"/>
  <c r="F75" i="3"/>
  <c r="F32" i="2"/>
  <c r="E15" i="3"/>
  <c r="E14" i="3"/>
  <c r="C11" i="19" l="1"/>
  <c r="F59" i="37"/>
  <c r="F51" i="37"/>
  <c r="D13" i="20"/>
  <c r="F16" i="23"/>
  <c r="F15" i="23"/>
  <c r="E11" i="19"/>
  <c r="E27" i="21"/>
  <c r="E26" i="21"/>
  <c r="F11" i="10"/>
  <c r="F13" i="5"/>
  <c r="F11" i="5"/>
  <c r="F10" i="5"/>
  <c r="F9" i="5"/>
  <c r="F14" i="8"/>
  <c r="F10" i="8"/>
  <c r="E12" i="3"/>
  <c r="E11" i="3"/>
  <c r="E10" i="3"/>
  <c r="F13" i="11"/>
  <c r="F16" i="11" s="1"/>
  <c r="F15" i="11" l="1"/>
  <c r="F17" i="11"/>
  <c r="F63" i="11" l="1"/>
  <c r="F77" i="20"/>
  <c r="E14" i="19"/>
  <c r="E18" i="19" s="1"/>
  <c r="E9" i="56"/>
  <c r="F7" i="23"/>
  <c r="E8" i="55"/>
  <c r="F9" i="11"/>
  <c r="G6" i="52"/>
  <c r="I6" i="52"/>
  <c r="H6" i="52"/>
  <c r="E6" i="52"/>
  <c r="E23" i="21" l="1"/>
  <c r="E24" i="21"/>
  <c r="E22" i="21"/>
  <c r="E17" i="19"/>
  <c r="E19" i="19"/>
  <c r="F89" i="18"/>
  <c r="F14" i="18"/>
  <c r="F53" i="23"/>
  <c r="F9" i="23"/>
  <c r="F32" i="10"/>
  <c r="F33" i="12"/>
  <c r="F71" i="13"/>
  <c r="I23" i="51"/>
  <c r="H23" i="51"/>
  <c r="G23" i="51"/>
  <c r="E23" i="51"/>
  <c r="I12" i="51"/>
  <c r="H12" i="51"/>
  <c r="G12" i="51"/>
  <c r="E12" i="51"/>
  <c r="F22" i="42"/>
  <c r="F12" i="42"/>
  <c r="F12" i="41"/>
  <c r="F20" i="41"/>
  <c r="F11" i="40"/>
  <c r="F18" i="40"/>
  <c r="F16" i="36"/>
  <c r="F48" i="4"/>
  <c r="F67" i="5"/>
  <c r="F61" i="8"/>
  <c r="E32" i="2"/>
  <c r="H7" i="46"/>
  <c r="E88" i="21" l="1"/>
  <c r="E79" i="19"/>
  <c r="E75" i="3"/>
  <c r="H3" i="18"/>
  <c r="H6" i="11"/>
  <c r="G11" i="19"/>
  <c r="H32" i="8" l="1"/>
  <c r="G59" i="37"/>
  <c r="H32" i="10"/>
  <c r="I32" i="20" l="1"/>
  <c r="I30" i="20"/>
  <c r="I9" i="20"/>
  <c r="H6" i="19"/>
  <c r="H11" i="19" s="1"/>
  <c r="H51" i="19"/>
  <c r="H85" i="21"/>
  <c r="H35" i="21"/>
  <c r="H40" i="21"/>
  <c r="H47" i="21"/>
  <c r="H62" i="21"/>
  <c r="H18" i="21"/>
  <c r="H9" i="21"/>
  <c r="H6" i="21"/>
  <c r="I17" i="41"/>
  <c r="I16" i="40"/>
  <c r="H41" i="37"/>
  <c r="H40" i="37"/>
  <c r="H31" i="37"/>
  <c r="H30" i="37"/>
  <c r="H49" i="37"/>
  <c r="H38" i="37"/>
  <c r="H36" i="37"/>
  <c r="H33" i="37"/>
  <c r="H18" i="37"/>
  <c r="H3" i="37"/>
  <c r="H5" i="37" s="1"/>
  <c r="I32" i="18"/>
  <c r="I53" i="18"/>
  <c r="I82" i="18"/>
  <c r="I17" i="18"/>
  <c r="I79" i="18"/>
  <c r="I31" i="23"/>
  <c r="H15" i="21" l="1"/>
  <c r="H51" i="37"/>
  <c r="F13" i="20"/>
  <c r="I15" i="4"/>
  <c r="I56" i="5"/>
  <c r="I32" i="5"/>
  <c r="I61" i="7"/>
  <c r="I64" i="7" s="1"/>
  <c r="I19" i="8"/>
  <c r="H43" i="3"/>
  <c r="H64" i="3"/>
  <c r="H11" i="2"/>
  <c r="G75" i="3" l="1"/>
  <c r="I3" i="18"/>
  <c r="H33" i="12" l="1"/>
  <c r="I36" i="37"/>
  <c r="I41" i="37"/>
  <c r="I21" i="37"/>
  <c r="I38" i="37"/>
  <c r="I3" i="37"/>
  <c r="I5" i="37" s="1"/>
  <c r="I40" i="37"/>
  <c r="I31" i="37"/>
  <c r="I30" i="37"/>
  <c r="I49" i="37"/>
  <c r="I32" i="37"/>
  <c r="I25" i="37"/>
  <c r="J9" i="11"/>
  <c r="I35" i="21"/>
  <c r="I9" i="21"/>
  <c r="I15" i="21" s="1"/>
  <c r="J9" i="20"/>
  <c r="J13" i="20" s="1"/>
  <c r="J3" i="18"/>
  <c r="H9" i="46"/>
  <c r="H12" i="42"/>
  <c r="H20" i="41"/>
  <c r="H12" i="41"/>
  <c r="H18" i="40"/>
  <c r="H11" i="40"/>
  <c r="H14" i="18"/>
  <c r="H13" i="20"/>
  <c r="J18" i="8"/>
  <c r="J36" i="5"/>
  <c r="J16" i="12"/>
  <c r="J4" i="12"/>
  <c r="H9" i="11"/>
  <c r="G6" i="2"/>
  <c r="G32" i="2" s="1"/>
  <c r="I9" i="11"/>
  <c r="I48" i="4"/>
  <c r="I53" i="23"/>
  <c r="I9" i="23" s="1"/>
  <c r="H75" i="3"/>
  <c r="I9" i="10"/>
  <c r="I13" i="10" s="1"/>
  <c r="I6" i="10"/>
  <c r="I13" i="20"/>
  <c r="I14" i="18"/>
  <c r="I9" i="46"/>
  <c r="J9" i="46"/>
  <c r="I12" i="42"/>
  <c r="I22" i="42"/>
  <c r="I20" i="41"/>
  <c r="I12" i="41"/>
  <c r="I18" i="40"/>
  <c r="I11" i="40"/>
  <c r="I33" i="12"/>
  <c r="I7" i="13"/>
  <c r="I8" i="13"/>
  <c r="I9" i="8"/>
  <c r="I11" i="5"/>
  <c r="J12" i="42"/>
  <c r="J22" i="42"/>
  <c r="H59" i="37"/>
  <c r="H7" i="2"/>
  <c r="H6" i="2"/>
  <c r="I16" i="36"/>
  <c r="J9" i="5"/>
  <c r="J11" i="8"/>
  <c r="J6" i="10"/>
  <c r="J48" i="4"/>
  <c r="I53" i="3"/>
  <c r="I75" i="3" s="1"/>
  <c r="J53" i="23"/>
  <c r="J9" i="23"/>
  <c r="J89" i="18"/>
  <c r="J12" i="41"/>
  <c r="J20" i="41"/>
  <c r="J18" i="40"/>
  <c r="J11" i="40"/>
  <c r="J8" i="8"/>
  <c r="I11" i="19"/>
  <c r="J77" i="20"/>
  <c r="J13" i="10"/>
  <c r="J12" i="10"/>
  <c r="J71" i="13"/>
  <c r="I32" i="2"/>
  <c r="I81" i="21"/>
  <c r="J10" i="5"/>
  <c r="J63" i="11"/>
  <c r="I79" i="19"/>
  <c r="J14" i="18"/>
  <c r="I63" i="11"/>
  <c r="I11" i="8"/>
  <c r="I51" i="37" l="1"/>
  <c r="H32" i="2"/>
  <c r="J32" i="10"/>
  <c r="I12" i="10"/>
  <c r="I32" i="10" s="1"/>
  <c r="J33" i="12"/>
  <c r="J67" i="5"/>
  <c r="J61" i="8"/>
  <c r="H22" i="42"/>
  <c r="I71" i="13"/>
  <c r="I88" i="21"/>
  <c r="I61" i="8"/>
  <c r="H16" i="36"/>
  <c r="I77" i="20"/>
  <c r="H88" i="21"/>
  <c r="I67" i="5"/>
  <c r="H67" i="5"/>
  <c r="H61" i="8"/>
  <c r="H63" i="11"/>
  <c r="H71" i="13"/>
  <c r="I89" i="18"/>
  <c r="I59" i="37"/>
  <c r="H53" i="23"/>
  <c r="H7" i="23" s="1"/>
  <c r="G88" i="21"/>
  <c r="H48" i="4"/>
  <c r="H77" i="20" l="1"/>
  <c r="H79" i="19"/>
  <c r="H89" i="18"/>
  <c r="G79" i="19"/>
  <c r="H9" i="23"/>
  <c r="E3" i="37"/>
  <c r="C3" i="37"/>
  <c r="A28" i="38"/>
  <c r="D9" i="23"/>
  <c r="A30" i="38" l="1"/>
  <c r="E5" i="37"/>
  <c r="E59" i="37" s="1"/>
  <c r="C5" i="37"/>
  <c r="C59" i="37" s="1"/>
</calcChain>
</file>

<file path=xl/comments1.xml><?xml version="1.0" encoding="utf-8"?>
<comments xmlns="http://schemas.openxmlformats.org/spreadsheetml/2006/main">
  <authors>
    <author>theresa</author>
  </authors>
  <commentList>
    <comment ref="F45" authorId="0" shapeId="0">
      <text>
        <r>
          <rPr>
            <b/>
            <sz val="9"/>
            <color indexed="81"/>
            <rFont val="Tahoma"/>
            <charset val="1"/>
          </rPr>
          <t>theresa:</t>
        </r>
        <r>
          <rPr>
            <sz val="9"/>
            <color indexed="81"/>
            <rFont val="Tahoma"/>
            <charset val="1"/>
          </rPr>
          <t xml:space="preserve">
Mostly came from hail damage insurance
</t>
        </r>
      </text>
    </comment>
    <comment ref="G55" authorId="0" shapeId="0">
      <text>
        <r>
          <rPr>
            <b/>
            <sz val="9"/>
            <color indexed="81"/>
            <rFont val="Tahoma"/>
            <family val="2"/>
          </rPr>
          <t>theresa:</t>
        </r>
        <r>
          <rPr>
            <sz val="9"/>
            <color indexed="81"/>
            <rFont val="Tahoma"/>
            <family val="2"/>
          </rPr>
          <t xml:space="preserve">
130,000 from Elec. Fund and 94,457 from reserves</t>
        </r>
      </text>
    </comment>
  </commentList>
</comments>
</file>

<file path=xl/comments10.xml><?xml version="1.0" encoding="utf-8"?>
<comments xmlns="http://schemas.openxmlformats.org/spreadsheetml/2006/main">
  <authors>
    <author xml:space="preserve"> </author>
  </authors>
  <commentList>
    <comment ref="J7" authorId="0" shapeId="0">
      <text>
        <r>
          <rPr>
            <sz val="8"/>
            <color indexed="81"/>
            <rFont val="Tahoma"/>
            <family val="2"/>
          </rPr>
          <t xml:space="preserve">2% of mowing contract
</t>
        </r>
      </text>
    </comment>
  </commentList>
</comments>
</file>

<file path=xl/comments11.xml><?xml version="1.0" encoding="utf-8"?>
<comments xmlns="http://schemas.openxmlformats.org/spreadsheetml/2006/main">
  <authors>
    <author>theresa</author>
    <author xml:space="preserve"> </author>
  </authors>
  <commentList>
    <comment ref="F12" authorId="0" shapeId="0">
      <text>
        <r>
          <rPr>
            <b/>
            <sz val="9"/>
            <color indexed="81"/>
            <rFont val="Tahoma"/>
            <family val="2"/>
          </rPr>
          <t>theresa:</t>
        </r>
        <r>
          <rPr>
            <sz val="9"/>
            <color indexed="81"/>
            <rFont val="Tahoma"/>
            <family val="2"/>
          </rPr>
          <t xml:space="preserve">
Larry Bjergum
Rick Sundet
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</rPr>
          <t>theresa:</t>
        </r>
        <r>
          <rPr>
            <sz val="9"/>
            <color indexed="81"/>
            <rFont val="Tahoma"/>
            <family val="2"/>
          </rPr>
          <t xml:space="preserve">
Rick Sundet</t>
        </r>
      </text>
    </comment>
    <comment ref="F20" authorId="0" shapeId="0">
      <text>
        <r>
          <rPr>
            <b/>
            <sz val="9"/>
            <color indexed="81"/>
            <rFont val="Tahoma"/>
            <family val="2"/>
          </rPr>
          <t>theresa:</t>
        </r>
        <r>
          <rPr>
            <sz val="9"/>
            <color indexed="81"/>
            <rFont val="Tahoma"/>
            <family val="2"/>
          </rPr>
          <t xml:space="preserve">
Fest Building and Log Cabin</t>
        </r>
      </text>
    </comment>
    <comment ref="F29" authorId="0" shapeId="0">
      <text>
        <r>
          <rPr>
            <b/>
            <sz val="9"/>
            <color indexed="81"/>
            <rFont val="Tahoma"/>
            <family val="2"/>
          </rPr>
          <t>theresa:</t>
        </r>
        <r>
          <rPr>
            <sz val="9"/>
            <color indexed="81"/>
            <rFont val="Tahoma"/>
            <family val="2"/>
          </rPr>
          <t xml:space="preserve">
Lawn care</t>
        </r>
      </text>
    </comment>
    <comment ref="J29" authorId="1" shapeId="0">
      <text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>includes 20% of mowing
contract</t>
        </r>
      </text>
    </comment>
    <comment ref="G46" authorId="0" shapeId="0">
      <text>
        <r>
          <rPr>
            <b/>
            <sz val="9"/>
            <color indexed="81"/>
            <rFont val="Tahoma"/>
            <family val="2"/>
          </rPr>
          <t>theresa:</t>
        </r>
        <r>
          <rPr>
            <sz val="9"/>
            <color indexed="81"/>
            <rFont val="Tahoma"/>
            <family val="2"/>
          </rPr>
          <t xml:space="preserve">
Hail Damage</t>
        </r>
      </text>
    </comment>
    <comment ref="H48" authorId="0" shapeId="0">
      <text>
        <r>
          <rPr>
            <b/>
            <sz val="9"/>
            <color indexed="81"/>
            <rFont val="Tahoma"/>
            <family val="2"/>
          </rPr>
          <t xml:space="preserve">theresa: </t>
        </r>
        <r>
          <rPr>
            <sz val="9"/>
            <color indexed="81"/>
            <rFont val="Tahoma"/>
            <family val="2"/>
          </rPr>
          <t xml:space="preserve">
need costs for new lights and remote switch</t>
        </r>
      </text>
    </comment>
  </commentList>
</comments>
</file>

<file path=xl/comments12.xml><?xml version="1.0" encoding="utf-8"?>
<comments xmlns="http://schemas.openxmlformats.org/spreadsheetml/2006/main">
  <authors>
    <author>theresa</author>
    <author>Erin Konkel</author>
  </authors>
  <commentList>
    <comment ref="E18" authorId="0" shapeId="0">
      <text>
        <r>
          <rPr>
            <b/>
            <sz val="9"/>
            <color indexed="81"/>
            <rFont val="Tahoma"/>
            <family val="2"/>
          </rPr>
          <t>theresa:</t>
        </r>
        <r>
          <rPr>
            <sz val="9"/>
            <color indexed="81"/>
            <rFont val="Tahoma"/>
            <family val="2"/>
          </rPr>
          <t xml:space="preserve">
Paul Morken
</t>
        </r>
      </text>
    </comment>
    <comment ref="C53" authorId="1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Rob's Monthly Charge
</t>
        </r>
      </text>
    </comment>
    <comment ref="C85" authorId="1" shapeId="0">
      <text>
        <r>
          <rPr>
            <b/>
            <sz val="9"/>
            <color indexed="81"/>
            <rFont val="Tahoma"/>
            <charset val="1"/>
          </rPr>
          <t>Erin Konkel:</t>
        </r>
        <r>
          <rPr>
            <sz val="9"/>
            <color indexed="81"/>
            <rFont val="Tahoma"/>
            <charset val="1"/>
          </rPr>
          <t xml:space="preserve">
Underground primary wire on SE section of town plus powerpole replacement $82000</t>
        </r>
      </text>
    </comment>
    <comment ref="E85" authorId="1" shapeId="0">
      <text>
        <r>
          <rPr>
            <b/>
            <sz val="9"/>
            <color indexed="81"/>
            <rFont val="Tahoma"/>
            <charset val="1"/>
          </rPr>
          <t>Erin Konkel:</t>
        </r>
        <r>
          <rPr>
            <sz val="9"/>
            <color indexed="81"/>
            <rFont val="Tahoma"/>
            <charset val="1"/>
          </rPr>
          <t xml:space="preserve">
New light poles, etc
</t>
        </r>
      </text>
    </comment>
  </commentList>
</comments>
</file>

<file path=xl/comments13.xml><?xml version="1.0" encoding="utf-8"?>
<comments xmlns="http://schemas.openxmlformats.org/spreadsheetml/2006/main">
  <authors>
    <author>Erin Konkel</author>
    <author>theresa</author>
  </authors>
  <commentList>
    <comment ref="D16" authorId="0" shapeId="0">
      <text>
        <r>
          <rPr>
            <b/>
            <sz val="9"/>
            <color indexed="81"/>
            <rFont val="Tahoma"/>
            <charset val="1"/>
          </rPr>
          <t>Erin Konkel:</t>
        </r>
        <r>
          <rPr>
            <sz val="9"/>
            <color indexed="81"/>
            <rFont val="Tahoma"/>
            <charset val="1"/>
          </rPr>
          <t xml:space="preserve">
Half of John's salary
</t>
        </r>
      </text>
    </comment>
    <comment ref="F16" authorId="1" shapeId="0">
      <text>
        <r>
          <rPr>
            <b/>
            <sz val="9"/>
            <color indexed="81"/>
            <rFont val="Tahoma"/>
            <family val="2"/>
          </rPr>
          <t>theresa:</t>
        </r>
        <r>
          <rPr>
            <sz val="9"/>
            <color indexed="81"/>
            <rFont val="Tahoma"/>
            <family val="2"/>
          </rPr>
          <t xml:space="preserve">
Half of John's salary</t>
        </r>
      </text>
    </comment>
    <comment ref="D69" authorId="0" shapeId="0">
      <text>
        <r>
          <rPr>
            <b/>
            <sz val="9"/>
            <color indexed="81"/>
            <rFont val="Tahoma"/>
            <charset val="1"/>
          </rPr>
          <t>Erin Konkel:</t>
        </r>
        <r>
          <rPr>
            <sz val="9"/>
            <color indexed="81"/>
            <rFont val="Tahoma"/>
            <charset val="1"/>
          </rPr>
          <t xml:space="preserve">
Water Main Replacement at 1st Ave SW any overage will take from 490 infrastructure
</t>
        </r>
      </text>
    </comment>
    <comment ref="F69" authorId="1" shapeId="0">
      <text>
        <r>
          <rPr>
            <b/>
            <sz val="9"/>
            <color indexed="81"/>
            <rFont val="Tahoma"/>
            <charset val="1"/>
          </rPr>
          <t>theresa:</t>
        </r>
        <r>
          <rPr>
            <sz val="9"/>
            <color indexed="81"/>
            <rFont val="Tahoma"/>
            <charset val="1"/>
          </rPr>
          <t xml:space="preserve">
Clean tower 6000
Painting 25000
</t>
        </r>
      </text>
    </comment>
  </commentList>
</comments>
</file>

<file path=xl/comments14.xml><?xml version="1.0" encoding="utf-8"?>
<comments xmlns="http://schemas.openxmlformats.org/spreadsheetml/2006/main">
  <authors>
    <author>theresa</author>
    <author>Erin Konkel</author>
  </authors>
  <commentList>
    <comment ref="E14" authorId="0" shapeId="0">
      <text>
        <r>
          <rPr>
            <b/>
            <sz val="9"/>
            <color indexed="81"/>
            <rFont val="Tahoma"/>
            <family val="2"/>
          </rPr>
          <t>theresa:</t>
        </r>
        <r>
          <rPr>
            <sz val="9"/>
            <color indexed="81"/>
            <rFont val="Tahoma"/>
            <family val="2"/>
          </rPr>
          <t xml:space="preserve">
Half of John's salary</t>
        </r>
      </text>
    </comment>
    <comment ref="B63" authorId="1" shapeId="0">
      <text>
        <r>
          <rPr>
            <b/>
            <sz val="9"/>
            <color indexed="81"/>
            <rFont val="Tahoma"/>
            <charset val="1"/>
          </rPr>
          <t>Erin Konkel:</t>
        </r>
        <r>
          <rPr>
            <sz val="9"/>
            <color indexed="81"/>
            <rFont val="Tahoma"/>
            <charset val="1"/>
          </rPr>
          <t xml:space="preserve">
To Sewer Fund for Hwy 44 Bond</t>
        </r>
      </text>
    </comment>
    <comment ref="E63" authorId="0" shapeId="0">
      <text>
        <r>
          <rPr>
            <b/>
            <sz val="9"/>
            <color indexed="81"/>
            <rFont val="Tahoma"/>
            <charset val="1"/>
          </rPr>
          <t>theresa:</t>
        </r>
        <r>
          <rPr>
            <sz val="9"/>
            <color indexed="81"/>
            <rFont val="Tahoma"/>
            <charset val="1"/>
          </rPr>
          <t xml:space="preserve">
Transfer to Hwy 44 bond
</t>
        </r>
      </text>
    </comment>
    <comment ref="C70" authorId="1" shapeId="0">
      <text>
        <r>
          <rPr>
            <b/>
            <sz val="9"/>
            <color indexed="81"/>
            <rFont val="Tahoma"/>
            <charset val="1"/>
          </rPr>
          <t>Erin Konkel:</t>
        </r>
        <r>
          <rPr>
            <sz val="9"/>
            <color indexed="81"/>
            <rFont val="Tahoma"/>
            <charset val="1"/>
          </rPr>
          <t xml:space="preserve">
Dechlorination Sewer Discharge $80,000</t>
        </r>
      </text>
    </comment>
    <comment ref="E70" authorId="0" shapeId="0">
      <text>
        <r>
          <rPr>
            <b/>
            <sz val="9"/>
            <color indexed="81"/>
            <rFont val="Tahoma"/>
            <charset val="1"/>
          </rPr>
          <t>theresa:</t>
        </r>
        <r>
          <rPr>
            <sz val="9"/>
            <color indexed="81"/>
            <rFont val="Tahoma"/>
            <charset val="1"/>
          </rPr>
          <t xml:space="preserve">
Dechlorination/sludge/pump 120000
(cleaning 8000 and ballpark 30000 taken back off for 2014)
</t>
        </r>
      </text>
    </comment>
    <comment ref="G81" authorId="0" shapeId="0">
      <text>
        <r>
          <rPr>
            <b/>
            <sz val="9"/>
            <color indexed="81"/>
            <rFont val="Tahoma"/>
            <family val="2"/>
          </rPr>
          <t xml:space="preserve">Erin: Includes bond proceeds of $159150.00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>
  <authors>
    <author>theresa</author>
    <author xml:space="preserve"> </author>
  </authors>
  <commentList>
    <comment ref="H48" authorId="0" shapeId="0">
      <text>
        <r>
          <rPr>
            <b/>
            <sz val="9"/>
            <color indexed="81"/>
            <rFont val="Tahoma"/>
            <family val="2"/>
          </rPr>
          <t>theresa:</t>
        </r>
        <r>
          <rPr>
            <sz val="9"/>
            <color indexed="81"/>
            <rFont val="Tahoma"/>
            <family val="2"/>
          </rPr>
          <t xml:space="preserve">
leasehold improvements</t>
        </r>
      </text>
    </comment>
    <comment ref="H51" authorId="0" shapeId="0">
      <text>
        <r>
          <rPr>
            <b/>
            <sz val="9"/>
            <color indexed="81"/>
            <rFont val="Tahoma"/>
            <family val="2"/>
          </rPr>
          <t>theresa:</t>
        </r>
        <r>
          <rPr>
            <sz val="9"/>
            <color indexed="81"/>
            <rFont val="Tahoma"/>
            <family val="2"/>
          </rPr>
          <t xml:space="preserve">
cleaning</t>
        </r>
      </text>
    </comment>
    <comment ref="H54" authorId="0" shapeId="0">
      <text>
        <r>
          <rPr>
            <b/>
            <sz val="9"/>
            <color indexed="81"/>
            <rFont val="Tahoma"/>
            <family val="2"/>
          </rPr>
          <t>theresa:</t>
        </r>
        <r>
          <rPr>
            <sz val="9"/>
            <color indexed="81"/>
            <rFont val="Tahoma"/>
            <family val="2"/>
          </rPr>
          <t xml:space="preserve">
rent: 5130 times 4</t>
        </r>
      </text>
    </comment>
    <comment ref="A55" authorId="1" shapeId="0">
      <text>
        <r>
          <rPr>
            <sz val="8"/>
            <color indexed="81"/>
            <rFont val="Tahoma"/>
            <family val="2"/>
          </rPr>
          <t xml:space="preserve">Utilities billed by Oliver Project. 
</t>
        </r>
      </text>
    </comment>
    <comment ref="H55" authorId="0" shapeId="0">
      <text>
        <r>
          <rPr>
            <b/>
            <sz val="9"/>
            <color indexed="81"/>
            <rFont val="Tahoma"/>
            <family val="2"/>
          </rPr>
          <t>theresa:</t>
        </r>
        <r>
          <rPr>
            <sz val="9"/>
            <color indexed="81"/>
            <rFont val="Tahoma"/>
            <family val="2"/>
          </rPr>
          <t xml:space="preserve">
utilities</t>
        </r>
      </text>
    </comment>
  </commentList>
</comments>
</file>

<file path=xl/comments16.xml><?xml version="1.0" encoding="utf-8"?>
<comments xmlns="http://schemas.openxmlformats.org/spreadsheetml/2006/main">
  <authors>
    <author>Erin Konkel</author>
  </authors>
  <commentList>
    <comment ref="F53" authorId="0" shapeId="0">
      <text>
        <r>
          <rPr>
            <b/>
            <sz val="9"/>
            <color indexed="81"/>
            <rFont val="Tahoma"/>
            <charset val="1"/>
          </rPr>
          <t>Erin Konkel:</t>
        </r>
        <r>
          <rPr>
            <sz val="9"/>
            <color indexed="81"/>
            <rFont val="Tahoma"/>
            <charset val="1"/>
          </rPr>
          <t xml:space="preserve">
Security Cameras
</t>
        </r>
      </text>
    </comment>
  </commentList>
</comments>
</file>

<file path=xl/comments17.xml><?xml version="1.0" encoding="utf-8"?>
<comments xmlns="http://schemas.openxmlformats.org/spreadsheetml/2006/main">
  <authors>
    <author xml:space="preserve"> </author>
  </authors>
  <commentList>
    <comment ref="B1" authorId="0" shapeId="0">
      <text>
        <r>
          <rPr>
            <sz val="8"/>
            <color indexed="81"/>
            <rFont val="Tahoma"/>
            <family val="2"/>
          </rPr>
          <t xml:space="preserve">Budget developed in consultation with Mike Bubany, David Drown Assoc. </t>
        </r>
      </text>
    </comment>
  </commentList>
</comments>
</file>

<file path=xl/comments18.xml><?xml version="1.0" encoding="utf-8"?>
<comments xmlns="http://schemas.openxmlformats.org/spreadsheetml/2006/main">
  <authors>
    <author xml:space="preserve"> </author>
  </authors>
  <commentList>
    <comment ref="B1" authorId="0" shapeId="0">
      <text>
        <r>
          <rPr>
            <sz val="8"/>
            <color indexed="81"/>
            <rFont val="Tahoma"/>
            <family val="2"/>
          </rPr>
          <t xml:space="preserve">Budget developed in consultation with Mike Bubany, David Drown Assoc. </t>
        </r>
      </text>
    </comment>
  </commentList>
</comments>
</file>

<file path=xl/comments19.xml><?xml version="1.0" encoding="utf-8"?>
<comments xmlns="http://schemas.openxmlformats.org/spreadsheetml/2006/main">
  <authors>
    <author xml:space="preserve"> </author>
  </authors>
  <commentList>
    <comment ref="B1" authorId="0" shapeId="0">
      <text>
        <r>
          <rPr>
            <sz val="8"/>
            <color indexed="81"/>
            <rFont val="Tahoma"/>
            <family val="2"/>
          </rPr>
          <t xml:space="preserve">Budget developed in consultation with Mike Bubany, David Drown Assoc. </t>
        </r>
      </text>
    </comment>
  </commentList>
</comments>
</file>

<file path=xl/comments2.xml><?xml version="1.0" encoding="utf-8"?>
<comments xmlns="http://schemas.openxmlformats.org/spreadsheetml/2006/main">
  <authors>
    <author>Erin Konkel</author>
    <author>theresa</author>
  </authors>
  <commentList>
    <comment ref="C24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$200 per council member
</t>
        </r>
      </text>
    </comment>
    <comment ref="E24" authorId="1" shapeId="0">
      <text>
        <r>
          <rPr>
            <b/>
            <sz val="9"/>
            <color indexed="81"/>
            <rFont val="Tahoma"/>
            <charset val="1"/>
          </rPr>
          <t>theresa:</t>
        </r>
        <r>
          <rPr>
            <sz val="9"/>
            <color indexed="81"/>
            <rFont val="Tahoma"/>
            <charset val="1"/>
          </rPr>
          <t xml:space="preserve">
$200 per council member</t>
        </r>
      </text>
    </comment>
    <comment ref="B26" authorId="1" shapeId="0">
      <text>
        <r>
          <rPr>
            <sz val="9"/>
            <color indexed="81"/>
            <rFont val="Tahoma"/>
            <family val="2"/>
          </rPr>
          <t xml:space="preserve">Syttende Mai $1,500
Uffda Fest $1,500
Homecoming $1,500
Music in the Park $900
</t>
        </r>
      </text>
    </comment>
  </commentList>
</comments>
</file>

<file path=xl/comments20.xml><?xml version="1.0" encoding="utf-8"?>
<comments xmlns="http://schemas.openxmlformats.org/spreadsheetml/2006/main">
  <authors>
    <author xml:space="preserve"> </author>
  </authors>
  <commentList>
    <comment ref="B1" authorId="0" shapeId="0">
      <text>
        <r>
          <rPr>
            <sz val="8"/>
            <color indexed="81"/>
            <rFont val="Tahoma"/>
            <family val="2"/>
          </rPr>
          <t xml:space="preserve">Budget developed in consultation with Mike Bubany, David Drown Assoc. </t>
        </r>
      </text>
    </comment>
  </commentList>
</comments>
</file>

<file path=xl/comments3.xml><?xml version="1.0" encoding="utf-8"?>
<comments xmlns="http://schemas.openxmlformats.org/spreadsheetml/2006/main">
  <authors>
    <author>Erin Konkel</author>
    <author>theresa</author>
  </authors>
  <commentList>
    <comment ref="C4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Lyn - $38896
Erin - $46000
</t>
        </r>
      </text>
    </comment>
    <comment ref="E4" authorId="1" shapeId="0">
      <text>
        <r>
          <rPr>
            <b/>
            <sz val="9"/>
            <color indexed="81"/>
            <rFont val="Tahoma"/>
            <family val="2"/>
          </rPr>
          <t>theresa:</t>
        </r>
        <r>
          <rPr>
            <sz val="9"/>
            <color indexed="81"/>
            <rFont val="Tahoma"/>
            <family val="2"/>
          </rPr>
          <t xml:space="preserve">
Lyn Solberg - 38106
Erin Konkel - 45000
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Dorothy
Steph
</t>
        </r>
      </text>
    </comment>
    <comment ref="E6" authorId="1" shapeId="0">
      <text>
        <r>
          <rPr>
            <b/>
            <sz val="9"/>
            <color indexed="81"/>
            <rFont val="Tahoma"/>
            <family val="2"/>
          </rPr>
          <t>theresa:</t>
        </r>
        <r>
          <rPr>
            <sz val="9"/>
            <color indexed="81"/>
            <rFont val="Tahoma"/>
            <family val="2"/>
          </rPr>
          <t xml:space="preserve">
Dorothy Opsahl - 5500
Paula Hicks - 4700
</t>
        </r>
      </text>
    </comment>
    <comment ref="C37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Anything above and beyond Rob's monthly charge
</t>
        </r>
      </text>
    </comment>
    <comment ref="E37" authorId="1" shapeId="0">
      <text>
        <r>
          <rPr>
            <b/>
            <sz val="9"/>
            <color indexed="81"/>
            <rFont val="Tahoma"/>
            <charset val="1"/>
          </rPr>
          <t>theresa:</t>
        </r>
        <r>
          <rPr>
            <sz val="9"/>
            <color indexed="81"/>
            <rFont val="Tahoma"/>
            <charset val="1"/>
          </rPr>
          <t xml:space="preserve">
Rob Mason Computer Work 
</t>
        </r>
      </text>
    </comment>
    <comment ref="E56" authorId="1" shapeId="0">
      <text>
        <r>
          <rPr>
            <b/>
            <sz val="9"/>
            <color indexed="81"/>
            <rFont val="Tahoma"/>
            <charset val="1"/>
          </rPr>
          <t>theresa:</t>
        </r>
        <r>
          <rPr>
            <sz val="9"/>
            <color indexed="81"/>
            <rFont val="Tahoma"/>
            <charset val="1"/>
          </rPr>
          <t xml:space="preserve">
Gas comes from electric fund - for use for public works vehicles</t>
        </r>
      </text>
    </comment>
    <comment ref="D59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New Computer - Erin $1975.99
</t>
        </r>
      </text>
    </comment>
    <comment ref="C64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Tri-State Business Machines</t>
        </r>
      </text>
    </comment>
    <comment ref="D64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New office chairs $870</t>
        </r>
      </text>
    </comment>
  </commentList>
</comments>
</file>

<file path=xl/comments4.xml><?xml version="1.0" encoding="utf-8"?>
<comments xmlns="http://schemas.openxmlformats.org/spreadsheetml/2006/main">
  <authors>
    <author>theresa</author>
    <author>Erin Konkel</author>
  </authors>
  <commentList>
    <comment ref="F6" authorId="0" shapeId="0">
      <text>
        <r>
          <rPr>
            <b/>
            <sz val="9"/>
            <color indexed="81"/>
            <rFont val="Tahoma"/>
            <family val="2"/>
          </rPr>
          <t xml:space="preserve">theresa:15600 Steph
4500 Tim 
</t>
        </r>
      </text>
    </comment>
    <comment ref="D31" authorId="1" shapeId="0">
      <text>
        <r>
          <rPr>
            <b/>
            <sz val="9"/>
            <color indexed="81"/>
            <rFont val="Tahoma"/>
            <charset val="1"/>
          </rPr>
          <t>Erin Konkel:</t>
        </r>
        <r>
          <rPr>
            <sz val="9"/>
            <color indexed="81"/>
            <rFont val="Tahoma"/>
            <charset val="1"/>
          </rPr>
          <t xml:space="preserve">
Annual in-squad computer maintenance fee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</rPr>
          <t>theresa:</t>
        </r>
        <r>
          <rPr>
            <sz val="9"/>
            <color indexed="81"/>
            <rFont val="Tahoma"/>
            <family val="2"/>
          </rPr>
          <t xml:space="preserve">
Background checks, evaluations, checkups for new officers</t>
        </r>
      </text>
    </comment>
    <comment ref="D50" authorId="1" shapeId="0">
      <text>
        <r>
          <rPr>
            <b/>
            <sz val="9"/>
            <color indexed="81"/>
            <rFont val="Tahoma"/>
            <charset val="1"/>
          </rPr>
          <t>Erin Konkel:</t>
        </r>
        <r>
          <rPr>
            <sz val="9"/>
            <color indexed="81"/>
            <rFont val="Tahoma"/>
            <charset val="1"/>
          </rPr>
          <t xml:space="preserve">
In Squad Computers
</t>
        </r>
      </text>
    </comment>
    <comment ref="E58" authorId="1" shapeId="0">
      <text>
        <r>
          <rPr>
            <b/>
            <sz val="9"/>
            <color indexed="81"/>
            <rFont val="Tahoma"/>
            <family val="2"/>
          </rPr>
          <t xml:space="preserve">Erin Konkel:
1st Half Payment for In Squad Computers
</t>
        </r>
      </text>
    </comment>
  </commentList>
</comments>
</file>

<file path=xl/comments5.xml><?xml version="1.0" encoding="utf-8"?>
<comments xmlns="http://schemas.openxmlformats.org/spreadsheetml/2006/main">
  <authors>
    <author>Erin Konkel</author>
    <author>theresa</author>
  </authors>
  <commentList>
    <comment ref="D27" authorId="0" shapeId="0">
      <text>
        <r>
          <rPr>
            <b/>
            <sz val="9"/>
            <color indexed="81"/>
            <rFont val="Tahoma"/>
            <charset val="1"/>
          </rPr>
          <t>Erin Konkel:</t>
        </r>
        <r>
          <rPr>
            <sz val="9"/>
            <color indexed="81"/>
            <rFont val="Tahoma"/>
            <charset val="1"/>
          </rPr>
          <t xml:space="preserve">
Move to admin</t>
        </r>
      </text>
    </comment>
    <comment ref="B39" authorId="1" shapeId="0">
      <text>
        <r>
          <rPr>
            <b/>
            <sz val="9"/>
            <color indexed="81"/>
            <rFont val="Tahoma"/>
            <charset val="1"/>
          </rPr>
          <t>theresa:</t>
        </r>
        <r>
          <rPr>
            <sz val="9"/>
            <color indexed="81"/>
            <rFont val="Tahoma"/>
            <charset val="1"/>
          </rPr>
          <t xml:space="preserve">
moved to Admin
</t>
        </r>
      </text>
    </comment>
    <comment ref="B40" authorId="1" shapeId="0">
      <text>
        <r>
          <rPr>
            <b/>
            <sz val="9"/>
            <color indexed="81"/>
            <rFont val="Tahoma"/>
            <charset val="1"/>
          </rPr>
          <t>theresa:</t>
        </r>
        <r>
          <rPr>
            <sz val="9"/>
            <color indexed="81"/>
            <rFont val="Tahoma"/>
            <charset val="1"/>
          </rPr>
          <t xml:space="preserve">
Moved to Admin</t>
        </r>
      </text>
    </comment>
    <comment ref="D48" authorId="0" shapeId="0">
      <text>
        <r>
          <rPr>
            <b/>
            <sz val="9"/>
            <color indexed="81"/>
            <rFont val="Tahoma"/>
            <charset val="1"/>
          </rPr>
          <t>Erin Konkel:</t>
        </r>
        <r>
          <rPr>
            <sz val="9"/>
            <color indexed="81"/>
            <rFont val="Tahoma"/>
            <charset val="1"/>
          </rPr>
          <t xml:space="preserve">
Radios and computer</t>
        </r>
      </text>
    </comment>
    <comment ref="G50" authorId="1" shapeId="0">
      <text>
        <r>
          <rPr>
            <b/>
            <sz val="9"/>
            <color indexed="81"/>
            <rFont val="Tahoma"/>
            <charset val="1"/>
          </rPr>
          <t>theresa:</t>
        </r>
        <r>
          <rPr>
            <sz val="9"/>
            <color indexed="81"/>
            <rFont val="Tahoma"/>
            <charset val="1"/>
          </rPr>
          <t xml:space="preserve">
Hail damage repairs</t>
        </r>
      </text>
    </comment>
    <comment ref="D56" authorId="0" shapeId="0">
      <text>
        <r>
          <rPr>
            <b/>
            <sz val="9"/>
            <color indexed="81"/>
            <rFont val="Tahoma"/>
            <charset val="1"/>
          </rPr>
          <t>Erin Konkel:</t>
        </r>
        <r>
          <rPr>
            <sz val="9"/>
            <color indexed="81"/>
            <rFont val="Tahoma"/>
            <charset val="1"/>
          </rPr>
          <t xml:space="preserve">
to 405</t>
        </r>
      </text>
    </comment>
    <comment ref="F56" authorId="1" shapeId="0">
      <text>
        <r>
          <rPr>
            <b/>
            <sz val="9"/>
            <color indexed="81"/>
            <rFont val="Tahoma"/>
            <charset val="1"/>
          </rPr>
          <t>theresa:</t>
        </r>
        <r>
          <rPr>
            <sz val="9"/>
            <color indexed="81"/>
            <rFont val="Tahoma"/>
            <charset val="1"/>
          </rPr>
          <t xml:space="preserve">
Transfer to 405 for equipment purchases
</t>
        </r>
      </text>
    </comment>
    <comment ref="D60" authorId="0" shapeId="0">
      <text>
        <r>
          <rPr>
            <b/>
            <sz val="9"/>
            <color indexed="81"/>
            <rFont val="Tahoma"/>
            <charset val="1"/>
          </rPr>
          <t>Erin Konkel:</t>
        </r>
        <r>
          <rPr>
            <sz val="9"/>
            <color indexed="81"/>
            <rFont val="Tahoma"/>
            <charset val="1"/>
          </rPr>
          <t xml:space="preserve">
Community Ed Training, etc</t>
        </r>
      </text>
    </comment>
    <comment ref="D62" authorId="0" shapeId="0">
      <text>
        <r>
          <rPr>
            <b/>
            <sz val="9"/>
            <color indexed="81"/>
            <rFont val="Tahoma"/>
            <charset val="1"/>
          </rPr>
          <t>Erin Konkel:</t>
        </r>
        <r>
          <rPr>
            <sz val="9"/>
            <color indexed="81"/>
            <rFont val="Tahoma"/>
            <charset val="1"/>
          </rPr>
          <t xml:space="preserve">
Water/food/etc</t>
        </r>
      </text>
    </comment>
  </commentList>
</comments>
</file>

<file path=xl/comments6.xml><?xml version="1.0" encoding="utf-8"?>
<comments xmlns="http://schemas.openxmlformats.org/spreadsheetml/2006/main">
  <authors>
    <author>theresa</author>
  </authors>
  <commentList>
    <comment ref="F4" authorId="0" shapeId="0">
      <text>
        <r>
          <rPr>
            <b/>
            <sz val="9"/>
            <color indexed="81"/>
            <rFont val="Tahoma"/>
            <family val="2"/>
          </rPr>
          <t>theresa:</t>
        </r>
        <r>
          <rPr>
            <sz val="9"/>
            <color indexed="81"/>
            <rFont val="Tahoma"/>
            <family val="2"/>
          </rPr>
          <t xml:space="preserve">
Gary Sand
</t>
        </r>
      </text>
    </comment>
    <comment ref="F6" authorId="0" shapeId="0">
      <text>
        <r>
          <rPr>
            <b/>
            <sz val="9"/>
            <color indexed="81"/>
            <rFont val="Tahoma"/>
            <family val="2"/>
          </rPr>
          <t>theresa:</t>
        </r>
        <r>
          <rPr>
            <sz val="9"/>
            <color indexed="81"/>
            <rFont val="Tahoma"/>
            <family val="2"/>
          </rPr>
          <t xml:space="preserve">
Greg Ardinger
</t>
        </r>
      </text>
    </comment>
    <comment ref="G24" authorId="0" shapeId="0">
      <text>
        <r>
          <rPr>
            <b/>
            <sz val="9"/>
            <color indexed="81"/>
            <rFont val="Tahoma"/>
            <family val="2"/>
          </rPr>
          <t>theresa:</t>
        </r>
        <r>
          <rPr>
            <sz val="9"/>
            <color indexed="81"/>
            <rFont val="Tahoma"/>
            <family val="2"/>
          </rPr>
          <t xml:space="preserve">
Dust control
</t>
        </r>
      </text>
    </comment>
    <comment ref="G57" authorId="0" shapeId="0">
      <text>
        <r>
          <rPr>
            <b/>
            <sz val="9"/>
            <color indexed="81"/>
            <rFont val="Tahoma"/>
            <family val="2"/>
          </rPr>
          <t>theresa:</t>
        </r>
        <r>
          <rPr>
            <sz val="9"/>
            <color indexed="81"/>
            <rFont val="Tahoma"/>
            <family val="2"/>
          </rPr>
          <t xml:space="preserve">
Christmas lights</t>
        </r>
      </text>
    </comment>
  </commentList>
</comments>
</file>

<file path=xl/comments7.xml><?xml version="1.0" encoding="utf-8"?>
<comments xmlns="http://schemas.openxmlformats.org/spreadsheetml/2006/main">
  <authors>
    <author>Erin Konkel</author>
  </authors>
  <commentList>
    <comment ref="E20" authorId="0" shapeId="0">
      <text>
        <r>
          <rPr>
            <b/>
            <sz val="9"/>
            <color indexed="81"/>
            <rFont val="Tahoma"/>
            <charset val="1"/>
          </rPr>
          <t>Erin Konkel:</t>
        </r>
        <r>
          <rPr>
            <sz val="9"/>
            <color indexed="81"/>
            <rFont val="Tahoma"/>
            <charset val="1"/>
          </rPr>
          <t xml:space="preserve">
Landscape Partnership Program</t>
        </r>
      </text>
    </comment>
    <comment ref="E24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Basketball Court
</t>
        </r>
      </text>
    </comment>
    <comment ref="D25" authorId="0" shapeId="0">
      <text>
        <r>
          <rPr>
            <b/>
            <sz val="9"/>
            <color indexed="81"/>
            <rFont val="Tahoma"/>
            <charset val="1"/>
          </rPr>
          <t>Erin Konkel:</t>
        </r>
        <r>
          <rPr>
            <sz val="9"/>
            <color indexed="81"/>
            <rFont val="Tahoma"/>
            <charset val="1"/>
          </rPr>
          <t xml:space="preserve">
Lawn service</t>
        </r>
      </text>
    </comment>
    <comment ref="E46" authorId="0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Tree sale $
</t>
        </r>
      </text>
    </comment>
  </commentList>
</comments>
</file>

<file path=xl/comments8.xml><?xml version="1.0" encoding="utf-8"?>
<comments xmlns="http://schemas.openxmlformats.org/spreadsheetml/2006/main">
  <authors>
    <author>theresa</author>
    <author>Erin Konkel</author>
  </authors>
  <commentList>
    <comment ref="F4" authorId="0" shapeId="0">
      <text>
        <r>
          <rPr>
            <b/>
            <sz val="9"/>
            <color indexed="81"/>
            <rFont val="Tahoma"/>
            <family val="2"/>
          </rPr>
          <t>theresa:</t>
        </r>
        <r>
          <rPr>
            <sz val="9"/>
            <color indexed="81"/>
            <rFont val="Tahoma"/>
            <family val="2"/>
          </rPr>
          <t xml:space="preserve">
60000 - Guards
500 - Cleaning Person
</t>
        </r>
      </text>
    </comment>
    <comment ref="D21" authorId="1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Umbrellas
</t>
        </r>
      </text>
    </comment>
    <comment ref="D22" authorId="1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Paint insude and outside of bath house</t>
        </r>
      </text>
    </comment>
    <comment ref="D24" authorId="1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New signs w/in pool</t>
        </r>
      </text>
    </comment>
    <comment ref="D33" authorId="1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Lawn service
</t>
        </r>
      </text>
    </comment>
    <comment ref="F33" authorId="0" shapeId="0">
      <text>
        <r>
          <rPr>
            <b/>
            <sz val="9"/>
            <color indexed="81"/>
            <rFont val="Tahoma"/>
            <family val="2"/>
          </rPr>
          <t>theresa:</t>
        </r>
        <r>
          <rPr>
            <sz val="9"/>
            <color indexed="81"/>
            <rFont val="Tahoma"/>
            <family val="2"/>
          </rPr>
          <t xml:space="preserve">
Lawn Service</t>
        </r>
      </text>
    </comment>
    <comment ref="D40" authorId="1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Help wanted</t>
        </r>
      </text>
    </comment>
    <comment ref="D41" authorId="1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WSI &amp; LG Class advertising and manuals
</t>
        </r>
      </text>
    </comment>
    <comment ref="D42" authorId="1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Lessons, hours and uniforms
</t>
        </r>
      </text>
    </comment>
    <comment ref="E56" authorId="1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New computer
Chairs
</t>
        </r>
      </text>
    </comment>
    <comment ref="D57" authorId="1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Shelving in concessions</t>
        </r>
      </text>
    </comment>
    <comment ref="D59" authorId="1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Turtle tile womens bathroom
</t>
        </r>
      </text>
    </comment>
    <comment ref="D61" authorId="1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Freezer
</t>
        </r>
      </text>
    </comment>
    <comment ref="D63" authorId="1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Busing Mabel and Cal @ $115 per trip
</t>
        </r>
      </text>
    </comment>
    <comment ref="F67" authorId="0" shapeId="0">
      <text>
        <r>
          <rPr>
            <b/>
            <sz val="9"/>
            <color indexed="81"/>
            <rFont val="Tahoma"/>
            <family val="2"/>
          </rPr>
          <t>theresa:</t>
        </r>
        <r>
          <rPr>
            <sz val="9"/>
            <color indexed="81"/>
            <rFont val="Tahoma"/>
            <family val="2"/>
          </rPr>
          <t xml:space="preserve">
Red Cross 300
Dept of Health 660
</t>
        </r>
      </text>
    </comment>
    <comment ref="D68" authorId="1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Lorilyn/John CPO class
Travis WSIT
Lauren/Autumn WSI</t>
        </r>
      </text>
    </comment>
    <comment ref="F68" authorId="0" shapeId="0">
      <text>
        <r>
          <rPr>
            <b/>
            <sz val="9"/>
            <color indexed="81"/>
            <rFont val="Tahoma"/>
            <family val="2"/>
          </rPr>
          <t>theresa:</t>
        </r>
        <r>
          <rPr>
            <sz val="9"/>
            <color indexed="81"/>
            <rFont val="Tahoma"/>
            <family val="2"/>
          </rPr>
          <t xml:space="preserve">
CPR, Recert, etc
</t>
        </r>
      </text>
    </comment>
    <comment ref="D69" authorId="1" shapeId="0">
      <text>
        <r>
          <rPr>
            <b/>
            <sz val="9"/>
            <color indexed="81"/>
            <rFont val="Tahoma"/>
            <charset val="1"/>
          </rPr>
          <t>Erin Konkel:</t>
        </r>
        <r>
          <rPr>
            <sz val="9"/>
            <color indexed="81"/>
            <rFont val="Tahoma"/>
            <charset val="1"/>
          </rPr>
          <t xml:space="preserve">
Petty Cash
</t>
        </r>
      </text>
    </comment>
    <comment ref="E69" authorId="1" shapeId="0">
      <text>
        <r>
          <rPr>
            <b/>
            <sz val="9"/>
            <color indexed="81"/>
            <rFont val="Tahoma"/>
            <family val="2"/>
          </rPr>
          <t>Erin Konkel:</t>
        </r>
        <r>
          <rPr>
            <sz val="9"/>
            <color indexed="81"/>
            <rFont val="Tahoma"/>
            <family val="2"/>
          </rPr>
          <t xml:space="preserve">
Petty cash</t>
        </r>
      </text>
    </comment>
  </commentList>
</comments>
</file>

<file path=xl/comments9.xml><?xml version="1.0" encoding="utf-8"?>
<comments xmlns="http://schemas.openxmlformats.org/spreadsheetml/2006/main">
  <authors>
    <author>theresa</author>
  </authors>
  <commentList>
    <comment ref="G31" authorId="0" shapeId="0">
      <text>
        <r>
          <rPr>
            <b/>
            <sz val="9"/>
            <color indexed="81"/>
            <rFont val="Tahoma"/>
            <family val="2"/>
          </rPr>
          <t>theresa:</t>
        </r>
        <r>
          <rPr>
            <sz val="9"/>
            <color indexed="81"/>
            <rFont val="Tahoma"/>
            <family val="2"/>
          </rPr>
          <t xml:space="preserve">
Payment to refs</t>
        </r>
      </text>
    </comment>
  </commentList>
</comments>
</file>

<file path=xl/sharedStrings.xml><?xml version="1.0" encoding="utf-8"?>
<sst xmlns="http://schemas.openxmlformats.org/spreadsheetml/2006/main" count="2021" uniqueCount="1091">
  <si>
    <t>12100 Police</t>
  </si>
  <si>
    <t>Fund 615 Electric</t>
  </si>
  <si>
    <t>Fund 620 Water</t>
  </si>
  <si>
    <t>Fund 650 Liquor Store</t>
  </si>
  <si>
    <t>Fund 625 SEWER</t>
  </si>
  <si>
    <t>Communication (320)</t>
  </si>
  <si>
    <t>Professional Services (300)</t>
  </si>
  <si>
    <t>101-11300-301</t>
  </si>
  <si>
    <t>Auditing and Accounting Services</t>
  </si>
  <si>
    <t>101-11300-303</t>
  </si>
  <si>
    <t>Engineering Fees</t>
  </si>
  <si>
    <t>101-11300-304</t>
  </si>
  <si>
    <t>Legal Fees</t>
  </si>
  <si>
    <t>101-11300-309</t>
  </si>
  <si>
    <t>EDP, Software and Design</t>
  </si>
  <si>
    <t>Medical</t>
  </si>
  <si>
    <t>101-11300-311</t>
  </si>
  <si>
    <t>Merchandise for Resale (250)</t>
  </si>
  <si>
    <t>Liquor</t>
  </si>
  <si>
    <t>Beer</t>
  </si>
  <si>
    <t>Wine</t>
  </si>
  <si>
    <t>Soft Drinks and Mix</t>
  </si>
  <si>
    <t>Drink Ingredients (juices, olives)</t>
  </si>
  <si>
    <t>Repair and Maintenance (220-240)</t>
  </si>
  <si>
    <t>Utility Sales/Service - Penalties</t>
  </si>
  <si>
    <t>Miscellaneous Revenue - Interest</t>
  </si>
  <si>
    <t>Miscellaneous Revenue - Rents</t>
  </si>
  <si>
    <t>Miscellaneous Revenue - Contributions</t>
  </si>
  <si>
    <t>Miscellaneous Revenue - Other</t>
  </si>
  <si>
    <t>Miscellaneous Revenue - Franchise Fees</t>
  </si>
  <si>
    <t>Miscellaneous Revenue - LMC</t>
  </si>
  <si>
    <t>Miscellaneous Revenue - NSF Checks</t>
  </si>
  <si>
    <t>Liquor Store Glassware/Supplies</t>
  </si>
  <si>
    <t>Shop Materials</t>
  </si>
  <si>
    <t>Chemicals &amp; Chemical Products</t>
  </si>
  <si>
    <t>Other (including Labor)</t>
  </si>
  <si>
    <t>Office Supplies (200)</t>
  </si>
  <si>
    <t>101-11300-201</t>
  </si>
  <si>
    <t>Accessories (Staplers, etc)</t>
  </si>
  <si>
    <t>101-11300-202</t>
  </si>
  <si>
    <t>Copying Supplies</t>
  </si>
  <si>
    <t>101-11300-203</t>
  </si>
  <si>
    <t>Printed Forms and Paper</t>
  </si>
  <si>
    <t>101-11300-204</t>
  </si>
  <si>
    <t>Envelopes and Letterheads</t>
  </si>
  <si>
    <t>270-00000-36200</t>
  </si>
  <si>
    <t>Misc Revenue - Rents</t>
  </si>
  <si>
    <t>Revenue</t>
  </si>
  <si>
    <t>101-11300-205</t>
  </si>
  <si>
    <t>Other Supplies (Miscellaneous)</t>
  </si>
  <si>
    <t>Worker's Compensation (150-160)</t>
  </si>
  <si>
    <t>Transfer In</t>
  </si>
  <si>
    <t>270-00000-103</t>
  </si>
  <si>
    <t>Temporary Employees (Regular)</t>
  </si>
  <si>
    <t>Part-time Employees (Regular)</t>
  </si>
  <si>
    <t>Freight and Express</t>
  </si>
  <si>
    <t>Police</t>
  </si>
  <si>
    <t>Fire</t>
  </si>
  <si>
    <t>Streets</t>
  </si>
  <si>
    <t>Parks</t>
  </si>
  <si>
    <t>101-12100-101</t>
  </si>
  <si>
    <t>101-12100-102</t>
  </si>
  <si>
    <t>101-11100-123</t>
  </si>
  <si>
    <t>101-11100-949</t>
  </si>
  <si>
    <t>General Misc</t>
  </si>
  <si>
    <t>TOTAL</t>
  </si>
  <si>
    <t>101-11200-151</t>
  </si>
  <si>
    <t>Animal Control</t>
  </si>
  <si>
    <t>Tax Levy</t>
  </si>
  <si>
    <t>TOTAL REVENUES</t>
  </si>
  <si>
    <t>Council</t>
  </si>
  <si>
    <t>TOTAL EXPENDITURES</t>
  </si>
  <si>
    <t>270-00000-217</t>
  </si>
  <si>
    <t>270-00000-221</t>
  </si>
  <si>
    <t>270-00000-227</t>
  </si>
  <si>
    <t>270-00000-311</t>
  </si>
  <si>
    <t>270-00000-344</t>
  </si>
  <si>
    <t>270-00000-361</t>
  </si>
  <si>
    <t>270-00000-362</t>
  </si>
  <si>
    <t>270-00000-381</t>
  </si>
  <si>
    <t>270-00000-382</t>
  </si>
  <si>
    <t>270-00000-383</t>
  </si>
  <si>
    <t>270-00000-384</t>
  </si>
  <si>
    <t>270-00000-385</t>
  </si>
  <si>
    <t>270-00000-901</t>
  </si>
  <si>
    <t>270-00000-902</t>
  </si>
  <si>
    <t>270-00000-903</t>
  </si>
  <si>
    <t>270-00000-949</t>
  </si>
  <si>
    <t>Revenues</t>
  </si>
  <si>
    <t>Expenditures</t>
  </si>
  <si>
    <t>101-11200-103</t>
  </si>
  <si>
    <t>101-11200-122</t>
  </si>
  <si>
    <t>FICA</t>
  </si>
  <si>
    <t>101-11200-123</t>
  </si>
  <si>
    <t>Medicare</t>
  </si>
  <si>
    <t>101-11200-361</t>
  </si>
  <si>
    <t>General Liability</t>
  </si>
  <si>
    <t>101-11200-943</t>
  </si>
  <si>
    <t>101-11200-944</t>
  </si>
  <si>
    <t>101-11200-949</t>
  </si>
  <si>
    <t>Telephone</t>
  </si>
  <si>
    <t>Postage</t>
  </si>
  <si>
    <t>Conference/Training</t>
  </si>
  <si>
    <t>Books/Pamphlets</t>
  </si>
  <si>
    <t>Fees/Dues/Subscr.</t>
  </si>
  <si>
    <t>Other</t>
  </si>
  <si>
    <t>Administration</t>
  </si>
  <si>
    <t>101-11300-101</t>
  </si>
  <si>
    <t>101-11300-102</t>
  </si>
  <si>
    <t>Full Time Employees (Regular)</t>
  </si>
  <si>
    <t>Full Time Employees (Overtime)</t>
  </si>
  <si>
    <t>Part-time Employees</t>
  </si>
  <si>
    <t>101-11300-122</t>
  </si>
  <si>
    <t>101-11300-123</t>
  </si>
  <si>
    <t>101-11300-321</t>
  </si>
  <si>
    <t>101-11300-322</t>
  </si>
  <si>
    <t>101-11300-361</t>
  </si>
  <si>
    <t>101-11300-943</t>
  </si>
  <si>
    <t>101-11300-946</t>
  </si>
  <si>
    <t>101-11300-949</t>
  </si>
  <si>
    <t>Miscellaneous (940-999)</t>
  </si>
  <si>
    <t>Miscellaneous/Other</t>
  </si>
  <si>
    <t>Sanitation/Recycle</t>
  </si>
  <si>
    <t>Programming (Library, Dare, etc)</t>
  </si>
  <si>
    <t>Power Purchase</t>
  </si>
  <si>
    <t>Depreciation (920)</t>
  </si>
  <si>
    <t>General</t>
  </si>
  <si>
    <t>Rentals and Leases (910)</t>
  </si>
  <si>
    <t>Office Equipment</t>
  </si>
  <si>
    <t>Other Equipment</t>
  </si>
  <si>
    <t>Building Space</t>
  </si>
  <si>
    <t>101-11300-913</t>
  </si>
  <si>
    <t>Repairs and Maintenance - Contractual (900)</t>
  </si>
  <si>
    <t>Buildings</t>
  </si>
  <si>
    <t>Structures</t>
  </si>
  <si>
    <t>Other than Buildings</t>
  </si>
  <si>
    <t>Machinery and Equipment</t>
  </si>
  <si>
    <t>101-11300-903</t>
  </si>
  <si>
    <t>Utility Services (380)</t>
  </si>
  <si>
    <t>Electric</t>
  </si>
  <si>
    <t>Water</t>
  </si>
  <si>
    <t>Gas</t>
  </si>
  <si>
    <t>Refuse</t>
  </si>
  <si>
    <t>Sewer</t>
  </si>
  <si>
    <t>101-11300-381</t>
  </si>
  <si>
    <t>101-11300-383</t>
  </si>
  <si>
    <t>Insurance (360)</t>
  </si>
  <si>
    <t>101-11300-362</t>
  </si>
  <si>
    <t>101-11300-363</t>
  </si>
  <si>
    <t>Property</t>
  </si>
  <si>
    <t>Automotive</t>
  </si>
  <si>
    <t>Dram Shop</t>
  </si>
  <si>
    <t>101-11300-351</t>
  </si>
  <si>
    <t>Printing (350)</t>
  </si>
  <si>
    <t>Legal Notices</t>
  </si>
  <si>
    <t>101-11300-352</t>
  </si>
  <si>
    <t>General Notice and Public Info</t>
  </si>
  <si>
    <t>101-11300-353</t>
  </si>
  <si>
    <t>Ordinance Publication</t>
  </si>
  <si>
    <t>Advertising (340)</t>
  </si>
  <si>
    <t>Employment - Administrative</t>
  </si>
  <si>
    <t>Employment - Liquor Store</t>
  </si>
  <si>
    <t>Employment - Other</t>
  </si>
  <si>
    <t>Other - Administrative</t>
  </si>
  <si>
    <t>Other - Liquor Store</t>
  </si>
  <si>
    <t>Transportation (330)</t>
  </si>
  <si>
    <t>101-11300-331</t>
  </si>
  <si>
    <t>Travel Expense</t>
  </si>
  <si>
    <t>Miscellaneous Revenue - Collect for Others</t>
  </si>
  <si>
    <t>Refunds &amp; Reimbursements</t>
  </si>
  <si>
    <t xml:space="preserve">Non-Revenue Refunds &amp; Reimbursements </t>
  </si>
  <si>
    <t>Equipment Parts</t>
  </si>
  <si>
    <t>Tires</t>
  </si>
  <si>
    <t>101-11300-223</t>
  </si>
  <si>
    <t>Building Repair Supplies</t>
  </si>
  <si>
    <t>Street Maintenance Materials</t>
  </si>
  <si>
    <t>Landscaping Materials</t>
  </si>
  <si>
    <t>Sign and Sign Repair Materials</t>
  </si>
  <si>
    <t>Utility System</t>
  </si>
  <si>
    <t>Small Tools and Minor Equipment</t>
  </si>
  <si>
    <t>Operating Supplies (210)</t>
  </si>
  <si>
    <t>101-11300-211</t>
  </si>
  <si>
    <t>Cleaning Supplies</t>
  </si>
  <si>
    <t>Motor Fuels and Vehicle Repair</t>
  </si>
  <si>
    <t>615-00000-35500</t>
  </si>
  <si>
    <t>Misc Revenue</t>
  </si>
  <si>
    <t>625-00000-35200</t>
  </si>
  <si>
    <t>620-00000-35100</t>
  </si>
  <si>
    <t>620-00000-35500</t>
  </si>
  <si>
    <t>620-00000-36500</t>
  </si>
  <si>
    <t>Misc Revenue - Other</t>
  </si>
  <si>
    <t>650-00000-38800</t>
  </si>
  <si>
    <t>Tax Exempt - Misc</t>
  </si>
  <si>
    <t>650-00000-39100</t>
  </si>
  <si>
    <t>Sales - Liquor On</t>
  </si>
  <si>
    <t>650-00000-39200</t>
  </si>
  <si>
    <t>Sales - Liquor Off</t>
  </si>
  <si>
    <t>650-00000-39300</t>
  </si>
  <si>
    <t>Sales - Beer On</t>
  </si>
  <si>
    <t>650-00000-39400</t>
  </si>
  <si>
    <t>Sales - Beer Off</t>
  </si>
  <si>
    <t>650-00000-39500</t>
  </si>
  <si>
    <t>Sales - Chips - Nuts - Pop</t>
  </si>
  <si>
    <t>650-00000-39600</t>
  </si>
  <si>
    <t>Sales - Wine Off</t>
  </si>
  <si>
    <t>Lubricants and Additives</t>
  </si>
  <si>
    <t>270-00000-122</t>
  </si>
  <si>
    <t>270-00000-123</t>
  </si>
  <si>
    <t>270-00000-211</t>
  </si>
  <si>
    <t>101-11100-105</t>
  </si>
  <si>
    <t>Temporary (Regular)</t>
  </si>
  <si>
    <t>101-11100-122</t>
  </si>
  <si>
    <t>101-11300-151</t>
  </si>
  <si>
    <t>Insurance Premiums</t>
  </si>
  <si>
    <t>Employer Paid Insurance (130)</t>
  </si>
  <si>
    <t>101-11300-131</t>
  </si>
  <si>
    <t>Health</t>
  </si>
  <si>
    <t>101-11300-132</t>
  </si>
  <si>
    <t>Dental</t>
  </si>
  <si>
    <t>Contributions for Retirement (120)</t>
  </si>
  <si>
    <t>101-11300-121</t>
  </si>
  <si>
    <t>PERA</t>
  </si>
  <si>
    <t>Police Pension</t>
  </si>
  <si>
    <t>Wages and Salaries (100)</t>
  </si>
  <si>
    <t>101-11300-103</t>
  </si>
  <si>
    <t>Bond Principal</t>
  </si>
  <si>
    <t>Bond Interest</t>
  </si>
  <si>
    <t>Fiscal Charges</t>
  </si>
  <si>
    <t>Misc Other</t>
  </si>
  <si>
    <t>Ad Valorem Taxes</t>
  </si>
  <si>
    <t>Tax Increments</t>
  </si>
  <si>
    <t>Developer Payments</t>
  </si>
  <si>
    <t>Public Donations</t>
  </si>
  <si>
    <t>BUDGET SUMMARY</t>
  </si>
  <si>
    <t>General Fund</t>
  </si>
  <si>
    <t>Tax Abatement</t>
  </si>
  <si>
    <t>101-12100-103</t>
  </si>
  <si>
    <t>101-12100-121</t>
  </si>
  <si>
    <t>101-12100-122</t>
  </si>
  <si>
    <t>101-12100-123</t>
  </si>
  <si>
    <t>101-12100-124</t>
  </si>
  <si>
    <t>101-12100-131</t>
  </si>
  <si>
    <t>101-12100-132</t>
  </si>
  <si>
    <t>101-12100-151</t>
  </si>
  <si>
    <t>101-12100-201</t>
  </si>
  <si>
    <t>101-12100-205</t>
  </si>
  <si>
    <t>101-12100-212</t>
  </si>
  <si>
    <t>101-12100-213</t>
  </si>
  <si>
    <t>101-12100-217</t>
  </si>
  <si>
    <t>101-12100-221</t>
  </si>
  <si>
    <t>101-12100-222</t>
  </si>
  <si>
    <t>101-12100-240</t>
  </si>
  <si>
    <t>101-12100-301</t>
  </si>
  <si>
    <t>101-12100-304</t>
  </si>
  <si>
    <t>101-12100-321</t>
  </si>
  <si>
    <t>101-12100-322</t>
  </si>
  <si>
    <t>101-12100-331</t>
  </si>
  <si>
    <t>101-12100-344</t>
  </si>
  <si>
    <t>101-12100-352</t>
  </si>
  <si>
    <t>101-12100-363</t>
  </si>
  <si>
    <t>101-12100-381</t>
  </si>
  <si>
    <t>101-12100-383</t>
  </si>
  <si>
    <t>101-12100-921</t>
  </si>
  <si>
    <t>101-12100-943</t>
  </si>
  <si>
    <t>101-12100-946</t>
  </si>
  <si>
    <t>101-12100-949</t>
  </si>
  <si>
    <t>101-12100-960</t>
  </si>
  <si>
    <t>101-12200-103</t>
  </si>
  <si>
    <t>101-12200-122</t>
  </si>
  <si>
    <t>101-12200-123</t>
  </si>
  <si>
    <t>101-12200-125</t>
  </si>
  <si>
    <t>101-12200-151</t>
  </si>
  <si>
    <t>101-12200-205</t>
  </si>
  <si>
    <t>101-12200-212</t>
  </si>
  <si>
    <t>101-12200-216</t>
  </si>
  <si>
    <t>101-12200-221</t>
  </si>
  <si>
    <t>101-12200-223</t>
  </si>
  <si>
    <t>101-12200-240</t>
  </si>
  <si>
    <t>101-12200-301</t>
  </si>
  <si>
    <t>101-12200-310</t>
  </si>
  <si>
    <t>101-12200-311</t>
  </si>
  <si>
    <t>101-12200-321</t>
  </si>
  <si>
    <t>101-12200-322</t>
  </si>
  <si>
    <t>101-12200-331</t>
  </si>
  <si>
    <t>101-12200-343</t>
  </si>
  <si>
    <t>101-12200-344</t>
  </si>
  <si>
    <t>101-12200-361</t>
  </si>
  <si>
    <t>101-12200-362</t>
  </si>
  <si>
    <t>101-12200-363</t>
  </si>
  <si>
    <t>101-12200-381</t>
  </si>
  <si>
    <t>101-12200-382</t>
  </si>
  <si>
    <t>101-12200-383</t>
  </si>
  <si>
    <t>101-12200-385</t>
  </si>
  <si>
    <t>101-12200-901</t>
  </si>
  <si>
    <t>101-12200-904</t>
  </si>
  <si>
    <t>101-12200-915</t>
  </si>
  <si>
    <t>101-12200-921</t>
  </si>
  <si>
    <t>101-12200-943</t>
  </si>
  <si>
    <t>101-12200-944</t>
  </si>
  <si>
    <t>101-12200-946</t>
  </si>
  <si>
    <t>101-12200-949</t>
  </si>
  <si>
    <t>101-13100-101</t>
  </si>
  <si>
    <t>101-13100-102</t>
  </si>
  <si>
    <t>101-13100-121</t>
  </si>
  <si>
    <t>101-13100-122</t>
  </si>
  <si>
    <t>101-13100-123</t>
  </si>
  <si>
    <t>101-13100-131</t>
  </si>
  <si>
    <t>101-13100-132</t>
  </si>
  <si>
    <t>101-13100-151</t>
  </si>
  <si>
    <t>101-13100-205</t>
  </si>
  <si>
    <t>101-13100-211</t>
  </si>
  <si>
    <t>101-13100-212</t>
  </si>
  <si>
    <t>101-13100-213</t>
  </si>
  <si>
    <t>101-13100-215</t>
  </si>
  <si>
    <t>101-13100-216</t>
  </si>
  <si>
    <t>101-13100-217</t>
  </si>
  <si>
    <t>101-13100-221</t>
  </si>
  <si>
    <t>101-13100-222</t>
  </si>
  <si>
    <t>101-13100-224</t>
  </si>
  <si>
    <t>101-13100-226</t>
  </si>
  <si>
    <t>101-13100-240</t>
  </si>
  <si>
    <t>101-13100-301</t>
  </si>
  <si>
    <t>101-13100-311</t>
  </si>
  <si>
    <t>101-13100-321</t>
  </si>
  <si>
    <t>101-13100-351</t>
  </si>
  <si>
    <t>101-13100-361</t>
  </si>
  <si>
    <t>101-13100-362</t>
  </si>
  <si>
    <t>101-13100-363</t>
  </si>
  <si>
    <t>101-13100-381</t>
  </si>
  <si>
    <t>101-13100-382</t>
  </si>
  <si>
    <t>101-13100-383</t>
  </si>
  <si>
    <t>101-13100-384</t>
  </si>
  <si>
    <t>101-13100-385</t>
  </si>
  <si>
    <t>101-13100-903</t>
  </si>
  <si>
    <t>101-13100-904</t>
  </si>
  <si>
    <t>101-13100-921</t>
  </si>
  <si>
    <t>101-13100-943</t>
  </si>
  <si>
    <t>101-13100-949</t>
  </si>
  <si>
    <t>101-13100-950</t>
  </si>
  <si>
    <t>101-14100-122</t>
  </si>
  <si>
    <t>101-14100-123</t>
  </si>
  <si>
    <t>101-14100-151</t>
  </si>
  <si>
    <t>101-14100-212</t>
  </si>
  <si>
    <t>101-14100-213</t>
  </si>
  <si>
    <t>101-14100-216</t>
  </si>
  <si>
    <t>101-14100-217</t>
  </si>
  <si>
    <t>101-14100-221</t>
  </si>
  <si>
    <t>101-14100-224</t>
  </si>
  <si>
    <t>101-14100-225</t>
  </si>
  <si>
    <t>101-14100-226</t>
  </si>
  <si>
    <t>101-14100-240</t>
  </si>
  <si>
    <t>101-14100-311</t>
  </si>
  <si>
    <t>101-14100-361</t>
  </si>
  <si>
    <t>101-14100-362</t>
  </si>
  <si>
    <t>101-14100-363</t>
  </si>
  <si>
    <t>101-14100-381</t>
  </si>
  <si>
    <t>101-14100-383</t>
  </si>
  <si>
    <t>101-14100-384</t>
  </si>
  <si>
    <t>101-14100-903</t>
  </si>
  <si>
    <t>101-14100-921</t>
  </si>
  <si>
    <t>101-14100-943</t>
  </si>
  <si>
    <t>101-14100-945</t>
  </si>
  <si>
    <t>101-14100-949</t>
  </si>
  <si>
    <t>101-14200-105</t>
  </si>
  <si>
    <t>101-14200-122</t>
  </si>
  <si>
    <t>101-14200-123</t>
  </si>
  <si>
    <t>101-14200-151</t>
  </si>
  <si>
    <t>101-14200-201</t>
  </si>
  <si>
    <t>101-14200-202</t>
  </si>
  <si>
    <t>101-14200-203</t>
  </si>
  <si>
    <t>101-14200-205</t>
  </si>
  <si>
    <t>101-14200-211</t>
  </si>
  <si>
    <t>101-14200-216</t>
  </si>
  <si>
    <t>101-14200-217</t>
  </si>
  <si>
    <t>101-14200-221</t>
  </si>
  <si>
    <t>101-14200-223</t>
  </si>
  <si>
    <t>101-14200-226</t>
  </si>
  <si>
    <t>101-14200-240</t>
  </si>
  <si>
    <t>101-14200-309</t>
  </si>
  <si>
    <t>101-14200-321</t>
  </si>
  <si>
    <t>101-14200-331</t>
  </si>
  <si>
    <t>101-14200-343</t>
  </si>
  <si>
    <t>101-14200-344</t>
  </si>
  <si>
    <t>101-14200-352</t>
  </si>
  <si>
    <t>101-14200-361</t>
  </si>
  <si>
    <t>101-14200-362</t>
  </si>
  <si>
    <t>101-14200-381</t>
  </si>
  <si>
    <t>101-14200-382</t>
  </si>
  <si>
    <t>101-14200-383</t>
  </si>
  <si>
    <t>101-14200-384</t>
  </si>
  <si>
    <t>101-14200-385</t>
  </si>
  <si>
    <t>101-14200-902</t>
  </si>
  <si>
    <t>101-14200-903</t>
  </si>
  <si>
    <t>101-14200-921</t>
  </si>
  <si>
    <t>101-14200-943</t>
  </si>
  <si>
    <t>101-14200-946</t>
  </si>
  <si>
    <t>101-14200-949</t>
  </si>
  <si>
    <t>101-14300-105</t>
  </si>
  <si>
    <t>101-14300-122</t>
  </si>
  <si>
    <t>101-14300-123</t>
  </si>
  <si>
    <t>101-14300-151</t>
  </si>
  <si>
    <t>101-14300-202</t>
  </si>
  <si>
    <t>101-14300-217</t>
  </si>
  <si>
    <t>101-14300-343</t>
  </si>
  <si>
    <t>101-14300-344</t>
  </si>
  <si>
    <t>101-14300-918</t>
  </si>
  <si>
    <t>101-14300-949</t>
  </si>
  <si>
    <t>101-14300-960</t>
  </si>
  <si>
    <t>615-00000-101</t>
  </si>
  <si>
    <t>615-00000-102</t>
  </si>
  <si>
    <t>615-00000-121</t>
  </si>
  <si>
    <t>615-00000-122</t>
  </si>
  <si>
    <t>615-00000-123</t>
  </si>
  <si>
    <t>615-00000-131</t>
  </si>
  <si>
    <t>615-00000-132</t>
  </si>
  <si>
    <t>615-00000-151</t>
  </si>
  <si>
    <t>615-00000-203</t>
  </si>
  <si>
    <t>615-00000-204</t>
  </si>
  <si>
    <t>615-00000-205</t>
  </si>
  <si>
    <t>615-00000-211</t>
  </si>
  <si>
    <t>615-00000-212</t>
  </si>
  <si>
    <t>615-00000-215</t>
  </si>
  <si>
    <t>615-00000-216</t>
  </si>
  <si>
    <t>615-00000-217</t>
  </si>
  <si>
    <t>615-00000-221</t>
  </si>
  <si>
    <t>615-00000-223</t>
  </si>
  <si>
    <t>615-00000-227</t>
  </si>
  <si>
    <t>615-00000-240</t>
  </si>
  <si>
    <t>615-00000-301</t>
  </si>
  <si>
    <t>615-00000-303</t>
  </si>
  <si>
    <t>615-00000-309</t>
  </si>
  <si>
    <t>615-00000-311</t>
  </si>
  <si>
    <t>615-00000-321</t>
  </si>
  <si>
    <t>615-00000-322</t>
  </si>
  <si>
    <t>615-00000-331</t>
  </si>
  <si>
    <t>615-00000-352</t>
  </si>
  <si>
    <t>615-00000-361</t>
  </si>
  <si>
    <t>615-00000-362</t>
  </si>
  <si>
    <t>615-00000-363</t>
  </si>
  <si>
    <t>615-00000-381</t>
  </si>
  <si>
    <t>615-00000-903</t>
  </si>
  <si>
    <t>615-00000-918</t>
  </si>
  <si>
    <t>615-00000-921</t>
  </si>
  <si>
    <t>615-00000-943</t>
  </si>
  <si>
    <t>615-00000-946</t>
  </si>
  <si>
    <t>615-00000-949</t>
  </si>
  <si>
    <t>615-00000-980</t>
  </si>
  <si>
    <t>620-00000-101</t>
  </si>
  <si>
    <t>620-00000-102</t>
  </si>
  <si>
    <t>620-00000-121</t>
  </si>
  <si>
    <t>620-00000-122</t>
  </si>
  <si>
    <t>620-00000-123</t>
  </si>
  <si>
    <t>620-00000-131</t>
  </si>
  <si>
    <t>620-00000-132</t>
  </si>
  <si>
    <t>620-00000-151</t>
  </si>
  <si>
    <t>620-00000-216</t>
  </si>
  <si>
    <t>620-00000-217</t>
  </si>
  <si>
    <t>620-00000-221</t>
  </si>
  <si>
    <t>620-00000-301</t>
  </si>
  <si>
    <t>620-00000-303</t>
  </si>
  <si>
    <t>620-00000-309</t>
  </si>
  <si>
    <t>620-00000-311</t>
  </si>
  <si>
    <t>620-00000-321</t>
  </si>
  <si>
    <t>620-00000-331</t>
  </si>
  <si>
    <t>620-00000-351</t>
  </si>
  <si>
    <t>620-00000-352</t>
  </si>
  <si>
    <t>620-00000-361</t>
  </si>
  <si>
    <t>620-00000-362</t>
  </si>
  <si>
    <t>620-00000-381</t>
  </si>
  <si>
    <t>620-00000-903</t>
  </si>
  <si>
    <t>620-00000-921</t>
  </si>
  <si>
    <t>620-00000-943</t>
  </si>
  <si>
    <t>620-00000-946</t>
  </si>
  <si>
    <t>620-00000-949</t>
  </si>
  <si>
    <t>625-00000-101</t>
  </si>
  <si>
    <t>625-00000-102</t>
  </si>
  <si>
    <t>625-00000-121</t>
  </si>
  <si>
    <t>625-00000-122</t>
  </si>
  <si>
    <t>625-00000-123</t>
  </si>
  <si>
    <t>625-00000-131</t>
  </si>
  <si>
    <t>625-00000-132</t>
  </si>
  <si>
    <t>625-00000-151</t>
  </si>
  <si>
    <t>625-00000-211</t>
  </si>
  <si>
    <t>625-00000-212</t>
  </si>
  <si>
    <t>625-00000-213</t>
  </si>
  <si>
    <t>625-00000-216</t>
  </si>
  <si>
    <t>625-00000-217</t>
  </si>
  <si>
    <t>625-00000-221</t>
  </si>
  <si>
    <t>625-00000-222</t>
  </si>
  <si>
    <t>625-00000-223</t>
  </si>
  <si>
    <t>625-00000-225</t>
  </si>
  <si>
    <t>625-00000-240</t>
  </si>
  <si>
    <t>625-00000-301</t>
  </si>
  <si>
    <t>625-00000-303</t>
  </si>
  <si>
    <t>625-00000-311</t>
  </si>
  <si>
    <t>625-00000-321</t>
  </si>
  <si>
    <t>625-00000-331</t>
  </si>
  <si>
    <t>625-00000-352</t>
  </si>
  <si>
    <t>625-00000-362</t>
  </si>
  <si>
    <t>625-00000-363</t>
  </si>
  <si>
    <t>625-00000-381</t>
  </si>
  <si>
    <t>625-00000-382</t>
  </si>
  <si>
    <t>625-00000-383</t>
  </si>
  <si>
    <t>625-00000-901</t>
  </si>
  <si>
    <t>625-00000-902</t>
  </si>
  <si>
    <t>625-00000-903</t>
  </si>
  <si>
    <t>625-00000-904</t>
  </si>
  <si>
    <t>625-00000-921</t>
  </si>
  <si>
    <t>625-00000-943</t>
  </si>
  <si>
    <t>625-00000-946</t>
  </si>
  <si>
    <t>625-00000-949</t>
  </si>
  <si>
    <t>650-00000-101</t>
  </si>
  <si>
    <t>650-00000-103</t>
  </si>
  <si>
    <t>650-00000-121</t>
  </si>
  <si>
    <t>650-00000-122</t>
  </si>
  <si>
    <t>650-00000-123</t>
  </si>
  <si>
    <t>650-00000-131</t>
  </si>
  <si>
    <t>650-00000-151</t>
  </si>
  <si>
    <t>650-00000-201</t>
  </si>
  <si>
    <t>650-00000-202</t>
  </si>
  <si>
    <t>650-00000-205</t>
  </si>
  <si>
    <t>650-00000-211</t>
  </si>
  <si>
    <t xml:space="preserve">650-00000-214 </t>
  </si>
  <si>
    <t>650-00000-216</t>
  </si>
  <si>
    <t>650-00000-217</t>
  </si>
  <si>
    <t>650-00000-221</t>
  </si>
  <si>
    <t>650-00000-223</t>
  </si>
  <si>
    <t>650-00000-226</t>
  </si>
  <si>
    <t>650-00000-240</t>
  </si>
  <si>
    <t>650-00000-251</t>
  </si>
  <si>
    <t>650-00000-252</t>
  </si>
  <si>
    <t>650-00000-253</t>
  </si>
  <si>
    <t>650-00000-254</t>
  </si>
  <si>
    <t>650-00000-255</t>
  </si>
  <si>
    <t>650-00000-301</t>
  </si>
  <si>
    <t>650-00000-321</t>
  </si>
  <si>
    <t>650-00000-333</t>
  </si>
  <si>
    <t>650-00000-342</t>
  </si>
  <si>
    <t>650-00000-344</t>
  </si>
  <si>
    <t>650-00000-345</t>
  </si>
  <si>
    <t>650-00000-352</t>
  </si>
  <si>
    <t>650-00000-361</t>
  </si>
  <si>
    <t>650-00000-362</t>
  </si>
  <si>
    <t>650-00000-364</t>
  </si>
  <si>
    <t>650-00000-381</t>
  </si>
  <si>
    <t>650-00000-382</t>
  </si>
  <si>
    <t>650-00000-383</t>
  </si>
  <si>
    <t>650-00000-384</t>
  </si>
  <si>
    <t>650-00000-385</t>
  </si>
  <si>
    <t>650-00000-901</t>
  </si>
  <si>
    <t>650-00000-943</t>
  </si>
  <si>
    <t>650-00000-946</t>
  </si>
  <si>
    <t>650-00000-949</t>
  </si>
  <si>
    <t>Fest Building</t>
  </si>
  <si>
    <t>Property Tax - General Revenue</t>
  </si>
  <si>
    <t>Local Government Aid - General</t>
  </si>
  <si>
    <t>License &amp; Permits - Liquor</t>
  </si>
  <si>
    <t>License &amp; Permits - Building/Zoning</t>
  </si>
  <si>
    <t>License &amp; Permits - Other</t>
  </si>
  <si>
    <t>License &amp; Permits - Animal</t>
  </si>
  <si>
    <t>Houston County Funding</t>
  </si>
  <si>
    <t>Inter-Governmental - State Grant</t>
  </si>
  <si>
    <t>Inter-Governmental - State Police Aid</t>
  </si>
  <si>
    <t>Inter-Governmental - State Fire Relief Aid</t>
  </si>
  <si>
    <t>Charges for Service - Overnight Parking</t>
  </si>
  <si>
    <t>Charges for Service - Other</t>
  </si>
  <si>
    <t>Fines &amp; Forfeits - Court Fines</t>
  </si>
  <si>
    <t>Utility Sales/Service</t>
  </si>
  <si>
    <t>Charges for Service - Aquatic Center</t>
  </si>
  <si>
    <t>11300 Administration</t>
  </si>
  <si>
    <t>11200 Council</t>
  </si>
  <si>
    <t>11100 Elections</t>
  </si>
  <si>
    <t>General Fund Revenues</t>
  </si>
  <si>
    <t>Contributions to Retirement (120)</t>
  </si>
  <si>
    <t>Insurance Premium</t>
  </si>
  <si>
    <t>12200 Fire</t>
  </si>
  <si>
    <t>14100 Parks</t>
  </si>
  <si>
    <t>Transfer Out (720)</t>
  </si>
  <si>
    <t>To General Fund</t>
  </si>
  <si>
    <t>Debt Service Fund</t>
  </si>
  <si>
    <t>Ambulance Aid</t>
  </si>
  <si>
    <t>CITY OF SPRING GROVE</t>
  </si>
  <si>
    <t>101-14100-901</t>
  </si>
  <si>
    <t>101-13100-105</t>
  </si>
  <si>
    <t>101-11300-344</t>
  </si>
  <si>
    <t>Capital Outlay (500)</t>
  </si>
  <si>
    <t>101-12200-580</t>
  </si>
  <si>
    <t>Capital Expense (500)</t>
  </si>
  <si>
    <t>Communications</t>
  </si>
  <si>
    <t>650-00000-520</t>
  </si>
  <si>
    <t>Buildings and Structures</t>
  </si>
  <si>
    <t>650-00000-530</t>
  </si>
  <si>
    <t>Improvements - Other</t>
  </si>
  <si>
    <t>101-12100-361</t>
  </si>
  <si>
    <t>101-12100-362</t>
  </si>
  <si>
    <t>Building</t>
  </si>
  <si>
    <t>Budget</t>
  </si>
  <si>
    <t>Actual</t>
  </si>
  <si>
    <t>101-14200-225</t>
  </si>
  <si>
    <t>101-14200-311</t>
  </si>
  <si>
    <t>101-14200-341</t>
  </si>
  <si>
    <t>101-14200-254</t>
  </si>
  <si>
    <t>101-14200-257</t>
  </si>
  <si>
    <t>620-00000-363</t>
  </si>
  <si>
    <t>Vehicle</t>
  </si>
  <si>
    <t>101-11200-946</t>
  </si>
  <si>
    <t>101-11300-105</t>
  </si>
  <si>
    <t>101-11300-217</t>
  </si>
  <si>
    <t>101-11300-221</t>
  </si>
  <si>
    <t>101-11300-384</t>
  </si>
  <si>
    <t>101-11300-570</t>
  </si>
  <si>
    <t>Office Equipment and Furnishings</t>
  </si>
  <si>
    <t>101-11300-901</t>
  </si>
  <si>
    <t>101-12100-570</t>
  </si>
  <si>
    <t>Other (including labor)</t>
  </si>
  <si>
    <t>Other (Including Labor)</t>
  </si>
  <si>
    <t>Engineering</t>
  </si>
  <si>
    <t>101-14100-103</t>
  </si>
  <si>
    <t>Part-Time Employees (Regular)</t>
  </si>
  <si>
    <t>101-14100-211</t>
  </si>
  <si>
    <t>101-14100-223</t>
  </si>
  <si>
    <t>101-14100-382</t>
  </si>
  <si>
    <t>101-14100-385</t>
  </si>
  <si>
    <t>101-12200-204</t>
  </si>
  <si>
    <t>101-12200-211</t>
  </si>
  <si>
    <t>Accessories</t>
  </si>
  <si>
    <t>Envelopes and Letterhead</t>
  </si>
  <si>
    <t>101-12200-217</t>
  </si>
  <si>
    <t>101-12200-903</t>
  </si>
  <si>
    <t>101-13100-103</t>
  </si>
  <si>
    <t>Part Time Employees</t>
  </si>
  <si>
    <t>101-13100-352</t>
  </si>
  <si>
    <t>General Notice and Public Information</t>
  </si>
  <si>
    <t>101-13100-540</t>
  </si>
  <si>
    <t>Heavy Machinery</t>
  </si>
  <si>
    <t>101-11200-990</t>
  </si>
  <si>
    <t>101-11200-331</t>
  </si>
  <si>
    <t>101-11200-351</t>
  </si>
  <si>
    <t>101-11200-352</t>
  </si>
  <si>
    <t>101-11200-217</t>
  </si>
  <si>
    <t>Operating Supplies</t>
  </si>
  <si>
    <t>Legal Notice</t>
  </si>
  <si>
    <t>101-11300-226</t>
  </si>
  <si>
    <t>Sign Repair</t>
  </si>
  <si>
    <t>Programming</t>
  </si>
  <si>
    <t>101-12200-203</t>
  </si>
  <si>
    <t>Printing Forms</t>
  </si>
  <si>
    <t>101-13100-946</t>
  </si>
  <si>
    <t>Conferences</t>
  </si>
  <si>
    <t>101-14100-560</t>
  </si>
  <si>
    <t>Furniture</t>
  </si>
  <si>
    <t>Ice Cream</t>
  </si>
  <si>
    <t>Soft Drinks</t>
  </si>
  <si>
    <t>101-14300-945</t>
  </si>
  <si>
    <t>101-14300-943</t>
  </si>
  <si>
    <t>Dues, Fees</t>
  </si>
  <si>
    <t>101-14300-205</t>
  </si>
  <si>
    <t>Other Supplies</t>
  </si>
  <si>
    <t>Landscaping</t>
  </si>
  <si>
    <t>270-00000-151</t>
  </si>
  <si>
    <t>270-00000-223</t>
  </si>
  <si>
    <t>Building Repair</t>
  </si>
  <si>
    <t>270-00000-321</t>
  </si>
  <si>
    <t>Workman's Compensation</t>
  </si>
  <si>
    <t>Unemployment Compensation</t>
  </si>
  <si>
    <t>620-00000-322</t>
  </si>
  <si>
    <t>620-00000-224</t>
  </si>
  <si>
    <t>Street Maintenance</t>
  </si>
  <si>
    <t>620-00000-227</t>
  </si>
  <si>
    <t>620-00000-212</t>
  </si>
  <si>
    <t>Motor Fuels</t>
  </si>
  <si>
    <t>620-00000-205</t>
  </si>
  <si>
    <t>625-00000-205</t>
  </si>
  <si>
    <t>625-00000-224</t>
  </si>
  <si>
    <t>Pera Rate Increase Aid</t>
  </si>
  <si>
    <t>Charges for Service - Parks</t>
  </si>
  <si>
    <t>615-00000-31600</t>
  </si>
  <si>
    <t>License &amp; Permits</t>
  </si>
  <si>
    <t>615-00000-35100</t>
  </si>
  <si>
    <t>615-00000-37300</t>
  </si>
  <si>
    <t>620-00000-31600</t>
  </si>
  <si>
    <t>Inter-Governmental - Federal</t>
  </si>
  <si>
    <t>270-00000-36400</t>
  </si>
  <si>
    <t>Misc Revenue - Contributions</t>
  </si>
  <si>
    <t>625-00000-31600</t>
  </si>
  <si>
    <t>License &amp; Permit</t>
  </si>
  <si>
    <t>625-00000-35500</t>
  </si>
  <si>
    <t>650-00000-331</t>
  </si>
  <si>
    <t>620-00000-901</t>
  </si>
  <si>
    <t>615-00000-901</t>
  </si>
  <si>
    <t>Contributions</t>
  </si>
  <si>
    <t>615-00000-490</t>
  </si>
  <si>
    <t>Expenses</t>
  </si>
  <si>
    <t>Old Pool</t>
  </si>
  <si>
    <t>Local Government Aid - State Fire Aid</t>
  </si>
  <si>
    <t>101-14200-260</t>
  </si>
  <si>
    <t>Copies and Miscellaneous</t>
  </si>
  <si>
    <t>Miscellaneous</t>
  </si>
  <si>
    <t>14200 SWIM Center</t>
  </si>
  <si>
    <t>Fund 610 Cable TV</t>
  </si>
  <si>
    <t>610-00000-103</t>
  </si>
  <si>
    <t>610-00000-122</t>
  </si>
  <si>
    <t>610-00000-123</t>
  </si>
  <si>
    <t>610-00000-205</t>
  </si>
  <si>
    <t>610-00000-217</t>
  </si>
  <si>
    <t>610-00000-570</t>
  </si>
  <si>
    <t>610-00000-580</t>
  </si>
  <si>
    <t>610-00000-946</t>
  </si>
  <si>
    <t>610-00000-949</t>
  </si>
  <si>
    <t>610-00000-36504</t>
  </si>
  <si>
    <t>101-14600-381</t>
  </si>
  <si>
    <t>101-14600-311</t>
  </si>
  <si>
    <t>Professional Services - Other</t>
  </si>
  <si>
    <t>Transfer In From 490</t>
  </si>
  <si>
    <t>Awards</t>
  </si>
  <si>
    <t>101-13100-303</t>
  </si>
  <si>
    <t>Transfer in from 480</t>
  </si>
  <si>
    <t>Professional Services</t>
  </si>
  <si>
    <t>615-00000-36500</t>
  </si>
  <si>
    <t>146000 Old Pool</t>
  </si>
  <si>
    <t>12600 Animal Control</t>
  </si>
  <si>
    <t>101-12600-311</t>
  </si>
  <si>
    <t>630-00000-103</t>
  </si>
  <si>
    <t>630-00000-122</t>
  </si>
  <si>
    <t>630-00000-121</t>
  </si>
  <si>
    <t>630-00000-123</t>
  </si>
  <si>
    <t>630-00000-131</t>
  </si>
  <si>
    <t>630-00000-132</t>
  </si>
  <si>
    <t>630-00000-151</t>
  </si>
  <si>
    <t>630-00000-301</t>
  </si>
  <si>
    <t>630-00000-362</t>
  </si>
  <si>
    <t>630-00000-913</t>
  </si>
  <si>
    <t>630-00000-917</t>
  </si>
  <si>
    <t>630-00000-918</t>
  </si>
  <si>
    <t>Office Suppllies (200)</t>
  </si>
  <si>
    <t>630-00000-201</t>
  </si>
  <si>
    <t>630-00000-202</t>
  </si>
  <si>
    <t>630-00000-203</t>
  </si>
  <si>
    <t>Printed Forms</t>
  </si>
  <si>
    <t>630-00000-205</t>
  </si>
  <si>
    <t>Operation Supplies (210)</t>
  </si>
  <si>
    <t>630-00000-217</t>
  </si>
  <si>
    <t>630-00000-943</t>
  </si>
  <si>
    <t>Fees/Dues/Subscriptions</t>
  </si>
  <si>
    <t>630-00000-945</t>
  </si>
  <si>
    <t>630-00000-946</t>
  </si>
  <si>
    <t>630-00000-949</t>
  </si>
  <si>
    <t>630-00000-960</t>
  </si>
  <si>
    <t>630-00000-321</t>
  </si>
  <si>
    <t>630-00000-331</t>
  </si>
  <si>
    <t>630-00000-344</t>
  </si>
  <si>
    <t>630-00000-352</t>
  </si>
  <si>
    <t>General Notice</t>
  </si>
  <si>
    <t>630-00000-560</t>
  </si>
  <si>
    <t>Furniture and Fixtures</t>
  </si>
  <si>
    <t>630-00000-570</t>
  </si>
  <si>
    <t xml:space="preserve">Other Office Equipment </t>
  </si>
  <si>
    <t>Repairs and Maint. Contractual (900)</t>
  </si>
  <si>
    <t>630-00000-211</t>
  </si>
  <si>
    <t>630-00000-225</t>
  </si>
  <si>
    <t>630-00000-32700</t>
  </si>
  <si>
    <t>630-00000-32022</t>
  </si>
  <si>
    <t>630-00000-36400</t>
  </si>
  <si>
    <t>101-11200-304</t>
  </si>
  <si>
    <t>Small Tools and Minor Equip</t>
  </si>
  <si>
    <t>101-11300-240</t>
  </si>
  <si>
    <t>101-14200-322</t>
  </si>
  <si>
    <t>610-00000-311</t>
  </si>
  <si>
    <t>101-14300-946</t>
  </si>
  <si>
    <t>270-00000-240</t>
  </si>
  <si>
    <t>Small Tools</t>
  </si>
  <si>
    <t>Fund 314 GO 2005A</t>
  </si>
  <si>
    <t>Fund 317 TIF GO 2007A</t>
  </si>
  <si>
    <t>Bond Proceeds</t>
  </si>
  <si>
    <t>615-00000-383</t>
  </si>
  <si>
    <t>625-00000-227</t>
  </si>
  <si>
    <t>650-00000-142</t>
  </si>
  <si>
    <t>650-00000-132</t>
  </si>
  <si>
    <t>Fire Pension - State Portion</t>
  </si>
  <si>
    <t>Fire Pension - City Portion</t>
  </si>
  <si>
    <t>Minimum Support Requirement</t>
  </si>
  <si>
    <t>101-14200-303</t>
  </si>
  <si>
    <t xml:space="preserve">Actual </t>
  </si>
  <si>
    <t>270-00000-560</t>
  </si>
  <si>
    <t>650-00000-311</t>
  </si>
  <si>
    <t>620-00000-384</t>
  </si>
  <si>
    <t>615-00000-570</t>
  </si>
  <si>
    <t>Part Time Employees (Regular)</t>
  </si>
  <si>
    <t>Election</t>
  </si>
  <si>
    <t>Transfer from 318 to 317</t>
  </si>
  <si>
    <t>490 Water Infrastructure</t>
  </si>
  <si>
    <t>480 Sewer Infrastructure</t>
  </si>
  <si>
    <t>101-11100-217</t>
  </si>
  <si>
    <t>630-00000-901</t>
  </si>
  <si>
    <t xml:space="preserve">Buildings </t>
  </si>
  <si>
    <t>101-12100-311</t>
  </si>
  <si>
    <t>101-13100-901</t>
  </si>
  <si>
    <t>101-14300-331</t>
  </si>
  <si>
    <t>101-14300-321</t>
  </si>
  <si>
    <t>101-14300-240</t>
  </si>
  <si>
    <t>Small Tool</t>
  </si>
  <si>
    <t>Communication/Transportation</t>
  </si>
  <si>
    <t>270-00000-226</t>
  </si>
  <si>
    <t>615-00000-384</t>
  </si>
  <si>
    <t>Fund 315 Pool Bonds 2012</t>
  </si>
  <si>
    <t>Bond 2006A</t>
  </si>
  <si>
    <t>101-14200-901</t>
  </si>
  <si>
    <t>Emergency Mgmt</t>
  </si>
  <si>
    <t>Property Tax - Penalty &amp; Interest</t>
  </si>
  <si>
    <t>License &amp; Permits - Business</t>
  </si>
  <si>
    <t>Market VCA - Fire truck</t>
  </si>
  <si>
    <t>License &amp; Permits - Cigarette</t>
  </si>
  <si>
    <t>Other Grants</t>
  </si>
  <si>
    <t>Non-Revenue - Deposits</t>
  </si>
  <si>
    <t>101-12100-917</t>
  </si>
  <si>
    <t>101-12200-226</t>
  </si>
  <si>
    <t>Sign &amp; Sign Repair</t>
  </si>
  <si>
    <t>101-13100-225</t>
  </si>
  <si>
    <t>101-14200-106</t>
  </si>
  <si>
    <t>Temporary Employees (Overtime)</t>
  </si>
  <si>
    <t>101-14200-580</t>
  </si>
  <si>
    <t>101-14200-520</t>
  </si>
  <si>
    <t>101-14200-570</t>
  </si>
  <si>
    <t>Office Equipment/Furniture</t>
  </si>
  <si>
    <t>610-00000-960</t>
  </si>
  <si>
    <t>610-00000-331</t>
  </si>
  <si>
    <t>610-00000-943</t>
  </si>
  <si>
    <t>Dues, Fees, Subscriptions</t>
  </si>
  <si>
    <t>610-00000-309</t>
  </si>
  <si>
    <t>EDP, Software</t>
  </si>
  <si>
    <t>615-00000-913</t>
  </si>
  <si>
    <t>615-00000-304</t>
  </si>
  <si>
    <t>615-00000-103</t>
  </si>
  <si>
    <t>615-00000-202</t>
  </si>
  <si>
    <t>Coping Supplies</t>
  </si>
  <si>
    <t>615-00000-201</t>
  </si>
  <si>
    <t>Accessories (staplers, etc)</t>
  </si>
  <si>
    <t>Unemployment Compensation (140)</t>
  </si>
  <si>
    <t>615-00000-142</t>
  </si>
  <si>
    <t>Benefit Payments</t>
  </si>
  <si>
    <t>615-00000-35600</t>
  </si>
  <si>
    <t>615-00000-36100</t>
  </si>
  <si>
    <t>Misc Revenue - Interest</t>
  </si>
  <si>
    <t>615-00000-36800</t>
  </si>
  <si>
    <t>Misc Revenue - NSF</t>
  </si>
  <si>
    <t>615-00000-37400</t>
  </si>
  <si>
    <t>Non-Revenue (Tri-County)</t>
  </si>
  <si>
    <t>625-00000-35100</t>
  </si>
  <si>
    <t>625-00000-39000</t>
  </si>
  <si>
    <t>Transfers (490)</t>
  </si>
  <si>
    <t>625-00000-490</t>
  </si>
  <si>
    <t>Transfer Out</t>
  </si>
  <si>
    <t>Unemploment Compensation (140)</t>
  </si>
  <si>
    <t>625-00000-142</t>
  </si>
  <si>
    <t>625-00000-322</t>
  </si>
  <si>
    <t>620-00000-35600</t>
  </si>
  <si>
    <t>Interest</t>
  </si>
  <si>
    <t>620-00000-142</t>
  </si>
  <si>
    <t>620-00000-902</t>
  </si>
  <si>
    <t>Transfer (490)</t>
  </si>
  <si>
    <t>620-00000-490</t>
  </si>
  <si>
    <t>Transfer out</t>
  </si>
  <si>
    <t>620-00000-240</t>
  </si>
  <si>
    <t>630-00000-36100</t>
  </si>
  <si>
    <t>630-00000-39000</t>
  </si>
  <si>
    <t>630-00000-490</t>
  </si>
  <si>
    <t>650-00000-903</t>
  </si>
  <si>
    <t>650-00000-433</t>
  </si>
  <si>
    <t>Advertising</t>
  </si>
  <si>
    <t>Advertising (433)</t>
  </si>
  <si>
    <t>650-00000-915</t>
  </si>
  <si>
    <t>650-00000-309</t>
  </si>
  <si>
    <t>EDP/Software</t>
  </si>
  <si>
    <t>650-00000-104</t>
  </si>
  <si>
    <t>Part-time Employees (Overtime)</t>
  </si>
  <si>
    <t>650-00000-257</t>
  </si>
  <si>
    <t>Ice Cream/Pop</t>
  </si>
  <si>
    <t>270-00000-904</t>
  </si>
  <si>
    <t>Machinery and Equip</t>
  </si>
  <si>
    <t>Transfer In (ELECTRIC)</t>
  </si>
  <si>
    <t>Transfer In (WATER SEWER)</t>
  </si>
  <si>
    <t>Carryover from 2013</t>
  </si>
  <si>
    <t>2013 Reserve (Gen Fund)</t>
  </si>
  <si>
    <t>Syttende Mai</t>
  </si>
  <si>
    <t>Uffda Fest</t>
  </si>
  <si>
    <t>Music In The Park</t>
  </si>
  <si>
    <t>101-11300-142</t>
  </si>
  <si>
    <t>Unemployment Payments</t>
  </si>
  <si>
    <t>(TIF - Nerstad/Four Seasons)</t>
  </si>
  <si>
    <t>Transfer in from Fund 430</t>
  </si>
  <si>
    <t>NOTE:  The tax money which comes in from the development goes directly to pay the bonds where were issued to pay for the</t>
  </si>
  <si>
    <t>infrastructure installed with this development.  This levy is not included in the general fund tax levy.  Ad valorem taxes are required</t>
  </si>
  <si>
    <t xml:space="preserve">if there is a shortfall between funds collected and money required to pay the bond interest.  The developer paid his share up front. </t>
  </si>
  <si>
    <t>Nine more years to pay.</t>
  </si>
  <si>
    <t>NOTE:  The total principal and interest payment for 2014 is $123,991.  This will be paid by transferring $23,991 from 430 and assessing a tax levy</t>
  </si>
  <si>
    <t xml:space="preserve">of $100,000.  Fund 430 is frozen for any expenditures except for transfers in each year toward this bond debt.  Up to $25,000 may be transferred in  </t>
  </si>
  <si>
    <t>each year for the life of the bond to reduce the tax levy required.</t>
  </si>
  <si>
    <t>Special Assessments</t>
  </si>
  <si>
    <t>(Bender Development Bond)</t>
  </si>
  <si>
    <t>NOTE:  The same procedure as Fund 314 is in effect here.  The developer is paying his share in installments towards</t>
  </si>
  <si>
    <t>the bond.  Ten more years to pay.</t>
  </si>
  <si>
    <t>Fund 354 HWY 44 BOND 2013</t>
  </si>
  <si>
    <t>Cash on Hand (Cap Interest)</t>
  </si>
  <si>
    <t>Cash on Hand (Utilities 2013 - 50/50)</t>
  </si>
  <si>
    <t>Transfer in Sewer</t>
  </si>
  <si>
    <t>Transfer in Water</t>
  </si>
  <si>
    <t>interest payment was paid out of the Hwy 44 bond proceeds as well as the Feb 1, 2014 interest payment.  (We are paying</t>
  </si>
  <si>
    <t>future interest on the current interest payments.)  Beginning in 2015, the Feb 1st payment is interest and principal and the August 1st payment is</t>
  </si>
  <si>
    <t>interest.  Beginning August 1, 2014 payments are being made from ad valorem taxes and transfers from utilities.</t>
  </si>
  <si>
    <t>NOTE:  This budget has to pay for the August 1, 2014 interest payment and the Feb 1, 2015 interest and principal payment.  The August 1, 2013</t>
  </si>
  <si>
    <t>Other (Busing)</t>
  </si>
  <si>
    <t>Other - Security Cameras</t>
  </si>
  <si>
    <t>Miscellaneous Revenue - Rural Fire</t>
  </si>
  <si>
    <t>Miscellaneous Revenue - State Reimburse</t>
  </si>
  <si>
    <t>LGA</t>
  </si>
  <si>
    <t>Gen Fund Transfer to Contingency Fund</t>
  </si>
  <si>
    <t>12300 Ambulance</t>
  </si>
  <si>
    <t>101-12300-720</t>
  </si>
  <si>
    <t>Operating</t>
  </si>
  <si>
    <t>Total</t>
  </si>
  <si>
    <t>Fund 316 Tax Abatement</t>
  </si>
  <si>
    <t>316-00000-602</t>
  </si>
  <si>
    <t>Other L-T Obligation</t>
  </si>
  <si>
    <t>316-00000-39000</t>
  </si>
  <si>
    <t>280 Industrial Dvlp</t>
  </si>
  <si>
    <t>280-00000-949</t>
  </si>
  <si>
    <t>Ambulance</t>
  </si>
  <si>
    <t>Temp Employees (Coaches)</t>
  </si>
  <si>
    <t>Temp Employees (Mgrs)</t>
  </si>
  <si>
    <t>Inter-Government - Other</t>
  </si>
  <si>
    <t>Homecoming</t>
  </si>
  <si>
    <t>13100 Streets &amp; Park Maintenance</t>
  </si>
  <si>
    <t>Debt Service Funds Summary</t>
  </si>
  <si>
    <t>Total Expenditures</t>
  </si>
  <si>
    <t>(From TIF District Property Tax)</t>
  </si>
  <si>
    <t xml:space="preserve">Attachments:  Payment schedule for each bond.  </t>
  </si>
  <si>
    <t>Recreation</t>
  </si>
  <si>
    <t>14300 Recreation</t>
  </si>
  <si>
    <t>Temp Employees (Ice Rink)</t>
  </si>
  <si>
    <t>Other (Non-Sports)</t>
  </si>
  <si>
    <t>Contributions - SGC</t>
  </si>
  <si>
    <t>12500 Emergency Mgmt</t>
  </si>
  <si>
    <t>101-12500-946</t>
  </si>
  <si>
    <t>101-12500-221</t>
  </si>
  <si>
    <t>Surplus/Deficit</t>
  </si>
  <si>
    <t>**  The ambulance service is managed by the independent Ambulance Board.  The city has representation on the Board.  The</t>
  </si>
  <si>
    <t>**  The City receives property tax money from the Assisted Living facility paid separately from the monies received</t>
  </si>
  <si>
    <t>from the rest of the community.  This money is then immediately refunded to the Assisted Living.  This abatement</t>
  </si>
  <si>
    <t>**  The Deputy Clerk's salary has been moved here from utility funds but money will still have to be transferred from utility funds to cover it.  This change</t>
  </si>
  <si>
    <t>will simplify accounting.</t>
  </si>
  <si>
    <t>**  Part of these expenses are paid by the rural areas</t>
  </si>
  <si>
    <t>460-00000-949</t>
  </si>
  <si>
    <t>Landscaping Materials (Roverud Park)</t>
  </si>
  <si>
    <t>Other than Buildings (BBall Court)</t>
  </si>
  <si>
    <t>***Roverud Park, Ballfield and Basketball Court</t>
  </si>
  <si>
    <t>Engineering Fees/Testing</t>
  </si>
  <si>
    <t>Nerstad TIF District (Fund 314)</t>
  </si>
  <si>
    <t>Bender TIF District (Fund 317)</t>
  </si>
  <si>
    <t>Pool Bonds (Fund 315)</t>
  </si>
  <si>
    <t>Street Bonds (Fund 354)</t>
  </si>
  <si>
    <t xml:space="preserve">Payment from </t>
  </si>
  <si>
    <t>SELCO/Houston</t>
  </si>
  <si>
    <t>County</t>
  </si>
  <si>
    <t>TOTAL DEBT SERVICE EXPENDITURES</t>
  </si>
  <si>
    <t xml:space="preserve">610-00000-121 </t>
  </si>
  <si>
    <t>Sale of Equipment</t>
  </si>
  <si>
    <t>PASS THROUGH PAYMENTS</t>
  </si>
  <si>
    <t>State of MN</t>
  </si>
  <si>
    <t>Swim Ctr</t>
  </si>
  <si>
    <t>Fund</t>
  </si>
  <si>
    <t>Street Infrastructure</t>
  </si>
  <si>
    <t>101-12200-945</t>
  </si>
  <si>
    <t>** Licensed police officers are covered by the Police Pension fund, not PERA.  The City gets a refund for some of these monies from the state.</t>
  </si>
  <si>
    <t>101-12500-321</t>
  </si>
  <si>
    <t>101-13100-344</t>
  </si>
  <si>
    <t>**Most of the parks expenses, except for special projects, are rolled into 13100 - Streets and Park Maintenance</t>
  </si>
  <si>
    <t>610-00000-344</t>
  </si>
  <si>
    <t>615-00000-351</t>
  </si>
  <si>
    <t>620-00000-36100</t>
  </si>
  <si>
    <t>620-00000-223</t>
  </si>
  <si>
    <t>425 Streets Infrastructure</t>
  </si>
  <si>
    <t>450 Electric Infrastructure</t>
  </si>
  <si>
    <t>625-00000-361</t>
  </si>
  <si>
    <t>650-00000-36200</t>
  </si>
  <si>
    <t>650-00000-36500</t>
  </si>
  <si>
    <t>Misc Rev - Other</t>
  </si>
  <si>
    <t>Misc Rev - Rents</t>
  </si>
  <si>
    <t>650-00000-36700</t>
  </si>
  <si>
    <t>Misc Rec - Fest Bld Bar</t>
  </si>
  <si>
    <t>650-00000-560</t>
  </si>
  <si>
    <t>Fund 630 Library</t>
  </si>
  <si>
    <t xml:space="preserve"> </t>
  </si>
  <si>
    <t>Fund 460 Contingency</t>
  </si>
  <si>
    <t>Cash on hand Jan 1, 2014</t>
  </si>
  <si>
    <t>Plus Ad Valorem Taxes</t>
  </si>
  <si>
    <t>Fund 435 Capital Equipment</t>
  </si>
  <si>
    <t>(Formerly Vehicle Depreciation)</t>
  </si>
  <si>
    <t>Industrial Development (EDA)</t>
  </si>
  <si>
    <t>Gen Fund Transfer to Capital Equipment</t>
  </si>
  <si>
    <t>Transfer in from 101</t>
  </si>
  <si>
    <t>Gen Fund Transfer to Sewer</t>
  </si>
  <si>
    <t>DEBT SERVICE FUNDS</t>
  </si>
  <si>
    <t>Actuals</t>
  </si>
  <si>
    <t>270-00000-36506</t>
  </si>
  <si>
    <t>Misc Revenue - Hail Damage</t>
  </si>
  <si>
    <t>YTD</t>
  </si>
  <si>
    <t>Bond Proceeds (Tax Settlement)</t>
  </si>
  <si>
    <t>101-14200-918</t>
  </si>
  <si>
    <t>Rentals &amp; Leases - Busing</t>
  </si>
  <si>
    <t>270-00000-121</t>
  </si>
  <si>
    <t>(EDA)</t>
  </si>
  <si>
    <t>**  2015 Increase in PERA to 7.5%</t>
  </si>
  <si>
    <t>** 2015 Repairs:</t>
  </si>
  <si>
    <t>Freezer</t>
  </si>
  <si>
    <t>Paint inside and outside of bath house</t>
  </si>
  <si>
    <t>Turtle tile woman's bathroom</t>
  </si>
  <si>
    <t>Umbrellas</t>
  </si>
  <si>
    <t>Shelving in concessions</t>
  </si>
  <si>
    <t>Imperviase floor concession area</t>
  </si>
  <si>
    <t>Umbrella for lifeguard chairs</t>
  </si>
  <si>
    <t>Other (Lawn Service)</t>
  </si>
  <si>
    <t>Fund 270 Fest Building/</t>
  </si>
  <si>
    <t>Log Cabin</t>
  </si>
  <si>
    <t>Other Gen Fund Revs</t>
  </si>
  <si>
    <t>(see Rev Page for Detail)</t>
  </si>
  <si>
    <t>Transfer in From Gen Fund</t>
  </si>
  <si>
    <t>Gen Fund Levy</t>
  </si>
  <si>
    <t>Debt Service Levy</t>
  </si>
  <si>
    <t>Library Levy</t>
  </si>
  <si>
    <t>TOTAL LEVY</t>
  </si>
  <si>
    <t>Deficit Budget to remove fund balance in this fund at end of year 2013</t>
  </si>
  <si>
    <t>($100,000 Ad Valorem Taxes, $26,529 Fund 430)</t>
  </si>
  <si>
    <t>Total Ad Valorem Tax from Tax Levy:</t>
  </si>
  <si>
    <t>Tax Rate Projected</t>
  </si>
  <si>
    <t>2014 Rate</t>
  </si>
  <si>
    <t>Electric Transfer In</t>
  </si>
  <si>
    <t xml:space="preserve">Projected 2015 Tax </t>
  </si>
  <si>
    <t>Capacity (After TIF)</t>
  </si>
  <si>
    <t>Transfer In From 101</t>
  </si>
  <si>
    <t>Other  (Set Aside for New Equip)</t>
  </si>
  <si>
    <t>City and the rural areas make contributions.  The City's contribution for 2015 is $7,824.</t>
  </si>
  <si>
    <t>Inter-Government-Other (City Funding)</t>
  </si>
  <si>
    <t>has a life of 10 years from the time of opening.  The estimated amount is $13,000 for 2015.</t>
  </si>
  <si>
    <t xml:space="preserve">Programming </t>
  </si>
  <si>
    <t>*Each council member is entitled to $200</t>
  </si>
  <si>
    <t>Conference*</t>
  </si>
  <si>
    <t>Office Equipment and Furnishings****</t>
  </si>
  <si>
    <t>* This budget includes fees for Hammell &amp; Murphy for prosecution of cases from Spring Grove brought by the city police, the HSO or the State Patrol.</t>
  </si>
  <si>
    <t>*** 2015 Increase in PERA to 16.2%</t>
  </si>
  <si>
    <t>****Implementing in-squad computer system; 2016 maintenance cost will only be $1,600</t>
  </si>
  <si>
    <t>101-12100-309</t>
  </si>
  <si>
    <t>Gen Fund Transfer to Water</t>
  </si>
  <si>
    <t>Thru Aug</t>
  </si>
  <si>
    <t>101-14100-303</t>
  </si>
  <si>
    <t>*Overage is for possible health coverage for Dawn Johnson - would come from reserves</t>
  </si>
  <si>
    <t>Fund 425 Street Infrastructure</t>
  </si>
  <si>
    <t>Less Expenses 2014</t>
  </si>
  <si>
    <t>TOTAL YTD</t>
  </si>
  <si>
    <t>Plus Interest YTD 2014</t>
  </si>
  <si>
    <t>Projects Planned for 2015:</t>
  </si>
  <si>
    <t>Less Purchases 2014</t>
  </si>
  <si>
    <t>Plus Vehicle Sales/Interest 2014</t>
  </si>
  <si>
    <t>Plus Depreciation 2014</t>
  </si>
  <si>
    <t>TOTAL YTD 2014</t>
  </si>
  <si>
    <t>Cash on hand Jan 1, 2015</t>
  </si>
  <si>
    <t>Fund 450 Electric Infrastructure</t>
  </si>
  <si>
    <t>Less Expenses</t>
  </si>
  <si>
    <t>Plus Interest YTD</t>
  </si>
  <si>
    <t>Fund 480 Sewer Infrastructure</t>
  </si>
  <si>
    <t>Plus Transfers In From 615 (CIP)</t>
  </si>
  <si>
    <t>Less Expenses (Bond Pmt)</t>
  </si>
  <si>
    <t>Sewer Infrastructure Fees</t>
  </si>
  <si>
    <t>Fund 490 Water Infrastructure</t>
  </si>
  <si>
    <t>Water Infrastructure Fees</t>
  </si>
  <si>
    <t>Less Expenses (Well Repairs)</t>
  </si>
  <si>
    <t>Transfer in from 450?</t>
  </si>
  <si>
    <t>Thru Oct</t>
  </si>
  <si>
    <t>101-11300-104</t>
  </si>
  <si>
    <t>620-00000-601</t>
  </si>
  <si>
    <t>620-00000-611</t>
  </si>
  <si>
    <t>Debt Service (600)</t>
  </si>
  <si>
    <t>Bond Principal (Hwy 44/MainSt)</t>
  </si>
  <si>
    <t>Bond Interest (Hwy 44/Main St)</t>
  </si>
  <si>
    <t>625-00000-601</t>
  </si>
  <si>
    <t>625-00000-611</t>
  </si>
  <si>
    <t>Bond Principal (Hwy 44/Main St)</t>
  </si>
  <si>
    <t>*Regular Judges accumulate approx 125 hours - new wage $10 per hour in 2016</t>
  </si>
  <si>
    <t>*Head Judges accumulate approx 50 hours - new wage $11 per hour in 2016</t>
  </si>
  <si>
    <t>*Election expenses occur only in even numbered years.  However, 1/2 of the budget is set aside each year.</t>
  </si>
  <si>
    <t>Miscellaneous/Other - CIP</t>
  </si>
  <si>
    <t>Thru 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</si>
</sst>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&quot;$&quot;#,##0"/>
    <numFmt numFmtId="168" formatCode="_(&quot;$&quot;* #,##0.0_);_(&quot;$&quot;* \(#,##0.0\);_(&quot;$&quot;* &quot;-&quot;??_);_(@_)"/>
  </numFmts>
  <fonts count="3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8"/>
      <color indexed="81"/>
      <name val="Tahoma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2"/>
      <color rgb="FF800080"/>
      <name val="Arial"/>
      <family val="2"/>
    </font>
    <font>
      <sz val="10"/>
      <color rgb="FF800080"/>
      <name val="Arial"/>
      <family val="2"/>
    </font>
    <font>
      <sz val="10"/>
      <color rgb="FF7030A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2060"/>
      <name val="Arial"/>
      <family val="2"/>
    </font>
    <font>
      <sz val="10"/>
      <color rgb="FFC00000"/>
      <name val="Arial"/>
      <family val="2"/>
    </font>
    <font>
      <sz val="10"/>
      <color theme="7" tint="-0.249977111117893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name val="Arial"/>
    </font>
    <font>
      <b/>
      <sz val="12"/>
      <color rgb="FF7030A0"/>
      <name val="Arial"/>
      <family val="2"/>
    </font>
    <font>
      <b/>
      <sz val="12"/>
      <color rgb="FF800080"/>
      <name val="Arial"/>
      <family val="2"/>
    </font>
    <font>
      <sz val="12"/>
      <color rgb="FF7030A0"/>
      <name val="Arial"/>
      <family val="2"/>
    </font>
    <font>
      <b/>
      <sz val="12"/>
      <color theme="7"/>
      <name val="Arial"/>
      <family val="2"/>
    </font>
    <font>
      <sz val="12"/>
      <color rgb="FF00206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5" fillId="0" borderId="0" applyFont="0" applyFill="0" applyBorder="0" applyAlignment="0" applyProtection="0"/>
  </cellStyleXfs>
  <cellXfs count="135">
    <xf numFmtId="0" fontId="0" fillId="0" borderId="0" xfId="0"/>
    <xf numFmtId="0" fontId="3" fillId="0" borderId="0" xfId="0" applyFont="1" applyAlignment="1">
      <alignment horizontal="center"/>
    </xf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165" fontId="0" fillId="0" borderId="0" xfId="1" applyNumberFormat="1" applyFont="1"/>
    <xf numFmtId="0" fontId="0" fillId="0" borderId="0" xfId="0" applyFill="1" applyBorder="1"/>
    <xf numFmtId="0" fontId="4" fillId="0" borderId="0" xfId="0" applyFont="1" applyFill="1" applyBorder="1"/>
    <xf numFmtId="0" fontId="4" fillId="0" borderId="0" xfId="0" applyFont="1"/>
    <xf numFmtId="0" fontId="5" fillId="0" borderId="0" xfId="0" applyFont="1"/>
    <xf numFmtId="165" fontId="0" fillId="0" borderId="4" xfId="1" applyNumberFormat="1" applyFont="1" applyBorder="1"/>
    <xf numFmtId="165" fontId="0" fillId="0" borderId="0" xfId="1" applyNumberFormat="1" applyFont="1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44" fontId="0" fillId="0" borderId="0" xfId="1" applyFont="1"/>
    <xf numFmtId="0" fontId="6" fillId="0" borderId="0" xfId="0" applyFont="1"/>
    <xf numFmtId="165" fontId="4" fillId="0" borderId="0" xfId="1" applyNumberFormat="1" applyFont="1"/>
    <xf numFmtId="165" fontId="0" fillId="0" borderId="0" xfId="0" applyNumberFormat="1"/>
    <xf numFmtId="165" fontId="4" fillId="0" borderId="0" xfId="1" applyNumberFormat="1" applyFont="1" applyAlignment="1">
      <alignment horizontal="center"/>
    </xf>
    <xf numFmtId="0" fontId="8" fillId="0" borderId="0" xfId="0" applyFont="1"/>
    <xf numFmtId="165" fontId="0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2" fillId="0" borderId="0" xfId="0" applyFont="1"/>
    <xf numFmtId="0" fontId="1" fillId="0" borderId="0" xfId="0" applyFont="1"/>
    <xf numFmtId="0" fontId="13" fillId="0" borderId="0" xfId="0" applyFont="1"/>
    <xf numFmtId="0" fontId="1" fillId="0" borderId="0" xfId="0" applyFont="1" applyFill="1" applyBorder="1"/>
    <xf numFmtId="165" fontId="0" fillId="0" borderId="0" xfId="1" applyNumberFormat="1" applyFont="1" applyAlignment="1">
      <alignment horizontal="center"/>
    </xf>
    <xf numFmtId="0" fontId="1" fillId="0" borderId="0" xfId="0" applyFont="1" applyAlignment="1">
      <alignment horizontal="right"/>
    </xf>
    <xf numFmtId="165" fontId="0" fillId="0" borderId="0" xfId="0" applyNumberFormat="1" applyAlignment="1">
      <alignment horizontal="center"/>
    </xf>
    <xf numFmtId="165" fontId="1" fillId="0" borderId="0" xfId="0" applyNumberFormat="1" applyFont="1" applyAlignment="1">
      <alignment horizontal="center"/>
    </xf>
    <xf numFmtId="0" fontId="0" fillId="0" borderId="0" xfId="0" applyFill="1"/>
    <xf numFmtId="165" fontId="1" fillId="0" borderId="4" xfId="1" applyNumberFormat="1" applyFont="1" applyFill="1" applyBorder="1"/>
    <xf numFmtId="165" fontId="0" fillId="0" borderId="4" xfId="1" applyNumberFormat="1" applyFont="1" applyFill="1" applyBorder="1"/>
    <xf numFmtId="165" fontId="10" fillId="0" borderId="4" xfId="1" applyNumberFormat="1" applyFont="1" applyFill="1" applyBorder="1"/>
    <xf numFmtId="166" fontId="0" fillId="0" borderId="0" xfId="2" applyNumberFormat="1" applyFont="1" applyFill="1"/>
    <xf numFmtId="165" fontId="10" fillId="0" borderId="0" xfId="1" applyNumberFormat="1" applyFont="1" applyFill="1"/>
    <xf numFmtId="165" fontId="0" fillId="0" borderId="0" xfId="1" applyNumberFormat="1" applyFont="1" applyFill="1"/>
    <xf numFmtId="0" fontId="4" fillId="0" borderId="0" xfId="0" applyFont="1" applyFill="1"/>
    <xf numFmtId="165" fontId="1" fillId="0" borderId="0" xfId="1" applyNumberFormat="1" applyFont="1" applyFill="1"/>
    <xf numFmtId="165" fontId="4" fillId="0" borderId="0" xfId="1" applyNumberFormat="1" applyFont="1" applyFill="1"/>
    <xf numFmtId="165" fontId="0" fillId="0" borderId="0" xfId="0" applyNumberFormat="1" applyFill="1"/>
    <xf numFmtId="165" fontId="4" fillId="0" borderId="0" xfId="0" applyNumberFormat="1" applyFont="1" applyFill="1"/>
    <xf numFmtId="165" fontId="13" fillId="0" borderId="0" xfId="1" applyNumberFormat="1" applyFont="1" applyFill="1"/>
    <xf numFmtId="165" fontId="14" fillId="0" borderId="0" xfId="1" applyNumberFormat="1" applyFont="1" applyFill="1"/>
    <xf numFmtId="0" fontId="1" fillId="0" borderId="0" xfId="0" applyFont="1" applyFill="1"/>
    <xf numFmtId="0" fontId="1" fillId="0" borderId="0" xfId="0" applyFont="1" applyAlignment="1">
      <alignment horizontal="center"/>
    </xf>
    <xf numFmtId="0" fontId="11" fillId="0" borderId="0" xfId="0" applyFont="1"/>
    <xf numFmtId="166" fontId="1" fillId="0" borderId="0" xfId="2" applyNumberFormat="1" applyFont="1" applyFill="1"/>
    <xf numFmtId="165" fontId="15" fillId="0" borderId="4" xfId="1" applyNumberFormat="1" applyFont="1" applyFill="1" applyBorder="1"/>
    <xf numFmtId="0" fontId="15" fillId="0" borderId="0" xfId="0" applyFont="1" applyBorder="1"/>
    <xf numFmtId="0" fontId="16" fillId="0" borderId="0" xfId="0" applyFont="1" applyBorder="1"/>
    <xf numFmtId="165" fontId="17" fillId="0" borderId="0" xfId="1" applyNumberFormat="1" applyFont="1"/>
    <xf numFmtId="165" fontId="17" fillId="0" borderId="0" xfId="1" applyNumberFormat="1" applyFont="1" applyFill="1"/>
    <xf numFmtId="0" fontId="12" fillId="0" borderId="0" xfId="0" applyFont="1" applyAlignment="1">
      <alignment horizontal="center"/>
    </xf>
    <xf numFmtId="0" fontId="1" fillId="0" borderId="0" xfId="0" applyFont="1" applyBorder="1"/>
    <xf numFmtId="0" fontId="17" fillId="0" borderId="0" xfId="0" applyFont="1"/>
    <xf numFmtId="0" fontId="0" fillId="0" borderId="0" xfId="0" applyFont="1" applyFill="1" applyBorder="1"/>
    <xf numFmtId="0" fontId="3" fillId="0" borderId="0" xfId="0" applyFont="1"/>
    <xf numFmtId="0" fontId="20" fillId="0" borderId="0" xfId="0" applyFont="1"/>
    <xf numFmtId="165" fontId="20" fillId="0" borderId="0" xfId="1" applyNumberFormat="1" applyFont="1"/>
    <xf numFmtId="9" fontId="21" fillId="0" borderId="0" xfId="0" applyNumberFormat="1" applyFont="1"/>
    <xf numFmtId="0" fontId="21" fillId="0" borderId="0" xfId="0" applyFont="1"/>
    <xf numFmtId="165" fontId="22" fillId="0" borderId="0" xfId="1" applyNumberFormat="1" applyFont="1" applyFill="1"/>
    <xf numFmtId="0" fontId="1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44" fontId="1" fillId="0" borderId="0" xfId="1" applyFont="1" applyFill="1"/>
    <xf numFmtId="165" fontId="1" fillId="0" borderId="0" xfId="1" applyNumberFormat="1" applyFont="1"/>
    <xf numFmtId="165" fontId="22" fillId="0" borderId="0" xfId="1" applyNumberFormat="1" applyFont="1"/>
    <xf numFmtId="0" fontId="3" fillId="0" borderId="4" xfId="0" applyFont="1" applyBorder="1"/>
    <xf numFmtId="164" fontId="13" fillId="0" borderId="6" xfId="0" applyNumberFormat="1" applyFont="1" applyFill="1" applyBorder="1"/>
    <xf numFmtId="0" fontId="13" fillId="0" borderId="7" xfId="0" applyFont="1" applyBorder="1"/>
    <xf numFmtId="0" fontId="1" fillId="0" borderId="0" xfId="0" applyFont="1" applyAlignment="1">
      <alignment horizontal="left"/>
    </xf>
    <xf numFmtId="165" fontId="11" fillId="0" borderId="0" xfId="1" applyNumberFormat="1" applyFont="1"/>
    <xf numFmtId="165" fontId="11" fillId="0" borderId="7" xfId="1" applyNumberFormat="1" applyFont="1" applyBorder="1"/>
    <xf numFmtId="165" fontId="1" fillId="0" borderId="0" xfId="0" applyNumberFormat="1" applyFont="1"/>
    <xf numFmtId="165" fontId="0" fillId="0" borderId="6" xfId="1" applyNumberFormat="1" applyFont="1" applyBorder="1"/>
    <xf numFmtId="165" fontId="0" fillId="0" borderId="7" xfId="1" applyNumberFormat="1" applyFont="1" applyBorder="1"/>
    <xf numFmtId="0" fontId="0" fillId="0" borderId="4" xfId="0" applyFill="1" applyBorder="1"/>
    <xf numFmtId="165" fontId="0" fillId="0" borderId="4" xfId="0" applyNumberFormat="1" applyBorder="1"/>
    <xf numFmtId="0" fontId="1" fillId="0" borderId="7" xfId="0" applyFont="1" applyBorder="1"/>
    <xf numFmtId="0" fontId="1" fillId="0" borderId="4" xfId="0" applyFont="1" applyFill="1" applyBorder="1"/>
    <xf numFmtId="0" fontId="0" fillId="0" borderId="5" xfId="0" applyFill="1" applyBorder="1"/>
    <xf numFmtId="165" fontId="1" fillId="0" borderId="4" xfId="1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6" fontId="0" fillId="0" borderId="4" xfId="0" applyNumberFormat="1" applyFill="1" applyBorder="1" applyAlignment="1">
      <alignment horizontal="center"/>
    </xf>
    <xf numFmtId="14" fontId="3" fillId="0" borderId="0" xfId="0" applyNumberFormat="1" applyFont="1" applyFill="1" applyBorder="1"/>
    <xf numFmtId="165" fontId="21" fillId="0" borderId="0" xfId="0" applyNumberFormat="1" applyFont="1"/>
    <xf numFmtId="9" fontId="20" fillId="0" borderId="0" xfId="2" applyFont="1"/>
    <xf numFmtId="0" fontId="0" fillId="0" borderId="4" xfId="0" applyBorder="1" applyAlignment="1">
      <alignment horizontal="center"/>
    </xf>
    <xf numFmtId="6" fontId="0" fillId="0" borderId="6" xfId="0" applyNumberFormat="1" applyBorder="1" applyAlignment="1">
      <alignment horizontal="center"/>
    </xf>
    <xf numFmtId="165" fontId="1" fillId="0" borderId="0" xfId="1" applyNumberFormat="1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6" fontId="0" fillId="0" borderId="0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6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167" fontId="0" fillId="0" borderId="0" xfId="1" applyNumberFormat="1" applyFont="1" applyBorder="1" applyAlignment="1">
      <alignment horizontal="center" vertical="center"/>
    </xf>
    <xf numFmtId="166" fontId="3" fillId="0" borderId="0" xfId="2" applyNumberFormat="1" applyFont="1" applyBorder="1"/>
    <xf numFmtId="166" fontId="3" fillId="0" borderId="1" xfId="2" applyNumberFormat="1" applyFont="1" applyBorder="1"/>
    <xf numFmtId="165" fontId="1" fillId="0" borderId="4" xfId="1" applyNumberFormat="1" applyFont="1" applyBorder="1" applyAlignment="1">
      <alignment horizontal="center"/>
    </xf>
    <xf numFmtId="168" fontId="0" fillId="0" borderId="0" xfId="1" applyNumberFormat="1" applyFont="1"/>
    <xf numFmtId="0" fontId="1" fillId="0" borderId="0" xfId="1" applyNumberFormat="1" applyFont="1" applyAlignment="1">
      <alignment horizontal="center"/>
    </xf>
    <xf numFmtId="165" fontId="2" fillId="0" borderId="0" xfId="1" applyNumberFormat="1" applyFont="1"/>
    <xf numFmtId="165" fontId="1" fillId="0" borderId="0" xfId="1" applyNumberFormat="1" applyFont="1" applyAlignment="1">
      <alignment horizontal="left"/>
    </xf>
    <xf numFmtId="165" fontId="3" fillId="0" borderId="0" xfId="1" applyNumberFormat="1" applyFont="1"/>
    <xf numFmtId="43" fontId="1" fillId="0" borderId="0" xfId="3" applyFont="1"/>
    <xf numFmtId="165" fontId="13" fillId="0" borderId="0" xfId="1" applyNumberFormat="1" applyFont="1"/>
    <xf numFmtId="0" fontId="0" fillId="0" borderId="0" xfId="0" applyBorder="1" applyAlignment="1">
      <alignment horizontal="left"/>
    </xf>
    <xf numFmtId="165" fontId="26" fillId="0" borderId="0" xfId="1" applyNumberFormat="1" applyFont="1" applyFill="1"/>
    <xf numFmtId="0" fontId="27" fillId="0" borderId="0" xfId="0" applyFont="1"/>
    <xf numFmtId="165" fontId="28" fillId="0" borderId="0" xfId="0" applyNumberFormat="1" applyFont="1"/>
    <xf numFmtId="165" fontId="28" fillId="0" borderId="7" xfId="1" applyNumberFormat="1" applyFont="1" applyBorder="1"/>
    <xf numFmtId="0" fontId="28" fillId="0" borderId="0" xfId="0" applyFont="1"/>
    <xf numFmtId="9" fontId="11" fillId="0" borderId="0" xfId="2" applyFont="1" applyFill="1"/>
    <xf numFmtId="0" fontId="29" fillId="0" borderId="0" xfId="0" applyFont="1"/>
    <xf numFmtId="0" fontId="15" fillId="0" borderId="0" xfId="0" applyFont="1"/>
    <xf numFmtId="0" fontId="30" fillId="0" borderId="0" xfId="0" applyFont="1"/>
    <xf numFmtId="165" fontId="11" fillId="0" borderId="0" xfId="1" applyNumberFormat="1" applyFont="1" applyFill="1"/>
    <xf numFmtId="0" fontId="3" fillId="0" borderId="0" xfId="0" applyFont="1" applyAlignment="1">
      <alignment horizontal="right"/>
    </xf>
    <xf numFmtId="43" fontId="0" fillId="0" borderId="0" xfId="0" applyNumberFormat="1"/>
    <xf numFmtId="43" fontId="1" fillId="0" borderId="0" xfId="0" applyNumberFormat="1" applyFont="1"/>
    <xf numFmtId="165" fontId="0" fillId="2" borderId="0" xfId="1" applyNumberFormat="1" applyFont="1" applyFill="1"/>
    <xf numFmtId="165" fontId="0" fillId="2" borderId="4" xfId="1" applyNumberFormat="1" applyFont="1" applyFill="1" applyBorder="1"/>
    <xf numFmtId="165" fontId="11" fillId="2" borderId="0" xfId="1" applyNumberFormat="1" applyFont="1" applyFill="1"/>
    <xf numFmtId="165" fontId="15" fillId="2" borderId="4" xfId="1" applyNumberFormat="1" applyFont="1" applyFill="1" applyBorder="1"/>
    <xf numFmtId="165" fontId="11" fillId="3" borderId="0" xfId="1" applyNumberFormat="1" applyFont="1" applyFill="1"/>
    <xf numFmtId="165" fontId="1" fillId="2" borderId="0" xfId="1" applyNumberFormat="1" applyFont="1" applyFill="1"/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opLeftCell="A16" zoomScaleNormal="100" workbookViewId="0">
      <selection activeCell="A11" sqref="A11"/>
    </sheetView>
  </sheetViews>
  <sheetFormatPr defaultRowHeight="12.75" x14ac:dyDescent="0.2"/>
  <cols>
    <col min="1" max="1" width="12.7109375" customWidth="1"/>
    <col min="5" max="5" width="12.28515625" bestFit="1" customWidth="1"/>
    <col min="6" max="6" width="34.5703125" customWidth="1"/>
    <col min="7" max="7" width="9.140625" hidden="1" customWidth="1"/>
    <col min="8" max="8" width="6.5703125" customWidth="1"/>
    <col min="9" max="9" width="0.42578125" customWidth="1"/>
    <col min="10" max="10" width="13.85546875" customWidth="1"/>
    <col min="11" max="11" width="19.28515625" customWidth="1"/>
    <col min="12" max="12" width="9.140625" customWidth="1"/>
    <col min="13" max="13" width="17.42578125" customWidth="1"/>
  </cols>
  <sheetData>
    <row r="1" spans="1:14" ht="15.75" x14ac:dyDescent="0.25">
      <c r="A1" s="14" t="s">
        <v>233</v>
      </c>
      <c r="E1" s="14">
        <v>2015</v>
      </c>
      <c r="F1" s="14" t="s">
        <v>581</v>
      </c>
    </row>
    <row r="3" spans="1:14" ht="12.75" customHeight="1" x14ac:dyDescent="0.25">
      <c r="A3" s="2" t="s">
        <v>234</v>
      </c>
      <c r="B3" s="3"/>
      <c r="C3" s="3"/>
      <c r="D3" s="3"/>
      <c r="E3" s="3"/>
      <c r="F3" s="3"/>
      <c r="G3" s="3"/>
      <c r="H3" s="4"/>
      <c r="J3" s="116">
        <f>A6</f>
        <v>346427</v>
      </c>
      <c r="K3" s="117" t="s">
        <v>1026</v>
      </c>
      <c r="L3" s="123"/>
      <c r="M3" s="113"/>
    </row>
    <row r="4" spans="1:14" ht="12.75" customHeight="1" x14ac:dyDescent="0.25">
      <c r="A4" s="5" t="s">
        <v>88</v>
      </c>
      <c r="B4" s="6"/>
      <c r="C4" s="6"/>
      <c r="D4" s="6"/>
      <c r="E4" s="6" t="s">
        <v>89</v>
      </c>
      <c r="F4" s="6"/>
      <c r="G4" s="6"/>
      <c r="H4" s="7" t="s">
        <v>969</v>
      </c>
      <c r="J4" s="118">
        <f>A33</f>
        <v>150573</v>
      </c>
      <c r="K4" s="117" t="s">
        <v>1027</v>
      </c>
      <c r="L4" s="52"/>
      <c r="M4" s="113"/>
    </row>
    <row r="5" spans="1:14" ht="12.75" customHeight="1" x14ac:dyDescent="0.25">
      <c r="D5" s="56"/>
      <c r="H5" s="7"/>
      <c r="J5" s="119">
        <v>103000</v>
      </c>
      <c r="K5" s="117" t="s">
        <v>1028</v>
      </c>
      <c r="L5" s="52"/>
      <c r="M5" s="113"/>
    </row>
    <row r="6" spans="1:14" ht="12.75" customHeight="1" x14ac:dyDescent="0.25">
      <c r="A6" s="54">
        <v>346427</v>
      </c>
      <c r="B6" s="55" t="s">
        <v>68</v>
      </c>
      <c r="C6" s="56"/>
      <c r="D6" s="56"/>
      <c r="E6" s="10">
        <f>Elections!D16</f>
        <v>1700</v>
      </c>
      <c r="F6" s="11" t="s">
        <v>788</v>
      </c>
      <c r="G6" s="6"/>
      <c r="H6" s="87">
        <v>11100</v>
      </c>
      <c r="J6" s="120"/>
      <c r="K6" s="117"/>
      <c r="L6" s="52"/>
      <c r="M6" s="113"/>
    </row>
    <row r="7" spans="1:14" ht="12.75" customHeight="1" x14ac:dyDescent="0.25">
      <c r="A7" s="54">
        <f>'General Fund Revenues'!C4</f>
        <v>13000</v>
      </c>
      <c r="B7" s="55" t="s">
        <v>235</v>
      </c>
      <c r="C7" s="56"/>
      <c r="D7" s="6"/>
      <c r="E7" s="129">
        <f>Council!C32</f>
        <v>11320.75</v>
      </c>
      <c r="F7" s="6" t="s">
        <v>70</v>
      </c>
      <c r="G7" s="6"/>
      <c r="H7" s="7">
        <v>11200</v>
      </c>
      <c r="J7" s="118">
        <f>SUM(J3:J5)</f>
        <v>600000</v>
      </c>
      <c r="K7" s="117" t="s">
        <v>1029</v>
      </c>
      <c r="L7" s="52"/>
      <c r="M7" s="29"/>
    </row>
    <row r="8" spans="1:14" ht="12.75" customHeight="1" x14ac:dyDescent="0.25">
      <c r="A8" s="83"/>
      <c r="B8" s="6"/>
      <c r="C8" s="6"/>
      <c r="D8" s="6"/>
      <c r="E8" s="129">
        <f>Administration!C75</f>
        <v>238207.88400000002</v>
      </c>
      <c r="F8" s="6" t="s">
        <v>106</v>
      </c>
      <c r="G8" s="6"/>
      <c r="H8" s="7">
        <v>11300</v>
      </c>
      <c r="J8" s="118">
        <v>485198</v>
      </c>
      <c r="K8" s="117" t="s">
        <v>1036</v>
      </c>
      <c r="L8" s="52"/>
      <c r="M8" s="29"/>
    </row>
    <row r="9" spans="1:14" ht="12.75" customHeight="1" x14ac:dyDescent="0.25">
      <c r="A9" s="15">
        <v>416552</v>
      </c>
      <c r="B9" s="6" t="s">
        <v>914</v>
      </c>
      <c r="C9" s="6"/>
      <c r="E9" s="10">
        <f>Police!D61</f>
        <v>224188.7248</v>
      </c>
      <c r="F9" s="6" t="s">
        <v>56</v>
      </c>
      <c r="G9" s="6"/>
      <c r="H9" s="7">
        <v>12100</v>
      </c>
      <c r="J9" s="125"/>
      <c r="K9" s="122" t="s">
        <v>1037</v>
      </c>
      <c r="L9" s="124"/>
      <c r="M9" s="64"/>
    </row>
    <row r="10" spans="1:14" ht="12.75" customHeight="1" x14ac:dyDescent="0.25">
      <c r="A10" s="130">
        <f>'General Fund Revenues'!C51</f>
        <v>157440</v>
      </c>
      <c r="B10" s="11" t="s">
        <v>1023</v>
      </c>
      <c r="D10" s="6"/>
      <c r="E10" s="10">
        <f>Fire!D64</f>
        <v>69735.5</v>
      </c>
      <c r="F10" s="6" t="s">
        <v>57</v>
      </c>
      <c r="G10" s="6"/>
      <c r="H10" s="87">
        <v>12200</v>
      </c>
      <c r="J10" s="121">
        <f>J7/J8</f>
        <v>1.2366085598044509</v>
      </c>
      <c r="K10" s="117" t="s">
        <v>1033</v>
      </c>
      <c r="L10" s="124"/>
      <c r="M10" s="64"/>
    </row>
    <row r="11" spans="1:14" ht="12.75" customHeight="1" x14ac:dyDescent="0.25">
      <c r="A11" s="38"/>
      <c r="B11" s="11" t="s">
        <v>1024</v>
      </c>
      <c r="C11" s="6"/>
      <c r="D11" s="6"/>
      <c r="E11" s="10">
        <f>Ambulance!C7</f>
        <v>8000</v>
      </c>
      <c r="F11" s="31" t="s">
        <v>926</v>
      </c>
      <c r="G11" s="6"/>
      <c r="H11" s="87">
        <v>12300</v>
      </c>
      <c r="J11" s="121">
        <v>1.1299999999999999</v>
      </c>
      <c r="K11" s="117" t="s">
        <v>1034</v>
      </c>
      <c r="L11" s="124"/>
      <c r="M11" s="64"/>
    </row>
    <row r="12" spans="1:14" ht="12.75" customHeight="1" x14ac:dyDescent="0.2">
      <c r="A12" s="38">
        <f>'General Fund Revenues'!C57</f>
        <v>188000</v>
      </c>
      <c r="B12" s="31" t="s">
        <v>1035</v>
      </c>
      <c r="C12" s="6"/>
      <c r="D12" s="6"/>
      <c r="E12" s="10">
        <f>'Emergency Mgmt'!C9</f>
        <v>500</v>
      </c>
      <c r="F12" s="31" t="s">
        <v>807</v>
      </c>
      <c r="G12" s="6"/>
      <c r="H12" s="87">
        <v>12500</v>
      </c>
      <c r="J12" s="40"/>
      <c r="K12" s="29"/>
      <c r="L12" s="124"/>
      <c r="M12" s="64"/>
    </row>
    <row r="13" spans="1:14" x14ac:dyDescent="0.2">
      <c r="A13" s="38"/>
      <c r="B13" s="11"/>
      <c r="C13" s="6"/>
      <c r="D13" s="6"/>
      <c r="E13" s="10">
        <f>'Animal Control'!D10</f>
        <v>2500</v>
      </c>
      <c r="F13" s="12" t="s">
        <v>67</v>
      </c>
      <c r="G13" s="6"/>
      <c r="H13" s="87">
        <v>12600</v>
      </c>
      <c r="J13" s="10"/>
      <c r="M13" s="64"/>
    </row>
    <row r="14" spans="1:14" x14ac:dyDescent="0.2">
      <c r="A14" s="38"/>
      <c r="B14" s="11"/>
      <c r="C14" s="6"/>
      <c r="D14" s="6"/>
      <c r="E14" s="10">
        <f>Streets!D67</f>
        <v>193123.09080000001</v>
      </c>
      <c r="F14" s="6" t="s">
        <v>58</v>
      </c>
      <c r="G14" s="6"/>
      <c r="H14" s="87">
        <v>13100</v>
      </c>
      <c r="J14" s="44"/>
      <c r="K14" s="93"/>
      <c r="L14" s="67"/>
      <c r="M14" s="67"/>
      <c r="N14" s="67"/>
    </row>
    <row r="15" spans="1:14" x14ac:dyDescent="0.2">
      <c r="A15" s="15"/>
      <c r="B15" s="11"/>
      <c r="C15" s="6"/>
      <c r="D15" s="6"/>
      <c r="E15" s="10">
        <f>Parks!D48</f>
        <v>64500</v>
      </c>
      <c r="F15" s="6" t="s">
        <v>59</v>
      </c>
      <c r="G15" s="6"/>
      <c r="H15" s="87">
        <v>14100</v>
      </c>
      <c r="J15" s="66"/>
      <c r="K15" s="92"/>
      <c r="L15" s="67"/>
      <c r="M15" s="67"/>
      <c r="N15" s="67"/>
    </row>
    <row r="16" spans="1:14" x14ac:dyDescent="0.2">
      <c r="A16" s="15"/>
      <c r="B16" s="11"/>
      <c r="C16" s="6"/>
      <c r="D16" s="6"/>
      <c r="E16" s="10">
        <f>'SWIM Center'!D71</f>
        <v>148844.5</v>
      </c>
      <c r="F16" s="6" t="s">
        <v>968</v>
      </c>
      <c r="G16" s="6"/>
      <c r="H16" s="87">
        <v>14200</v>
      </c>
      <c r="K16" s="80"/>
      <c r="L16" s="67"/>
      <c r="M16" s="67"/>
      <c r="N16" s="67"/>
    </row>
    <row r="17" spans="1:14" x14ac:dyDescent="0.2">
      <c r="A17" s="15"/>
      <c r="B17" s="11"/>
      <c r="C17" s="6"/>
      <c r="D17" s="6"/>
      <c r="E17" s="10">
        <f>Recreation!D33</f>
        <v>12397.25</v>
      </c>
      <c r="F17" s="60" t="s">
        <v>936</v>
      </c>
      <c r="G17" s="6"/>
      <c r="H17" s="87">
        <v>14300</v>
      </c>
      <c r="J17" s="10"/>
      <c r="K17" s="80"/>
      <c r="L17" s="29"/>
      <c r="M17" s="67"/>
      <c r="N17" s="29"/>
    </row>
    <row r="18" spans="1:14" x14ac:dyDescent="0.2">
      <c r="A18" s="15"/>
      <c r="B18" s="11"/>
      <c r="C18" s="6"/>
      <c r="D18" s="6"/>
      <c r="E18" s="10">
        <f>'Old Pool'!D9</f>
        <v>250</v>
      </c>
      <c r="F18" s="12" t="s">
        <v>693</v>
      </c>
      <c r="G18" s="6"/>
      <c r="H18" s="87">
        <v>14600</v>
      </c>
      <c r="M18" s="67"/>
    </row>
    <row r="19" spans="1:14" x14ac:dyDescent="0.2">
      <c r="A19" s="15"/>
      <c r="B19" s="11"/>
      <c r="C19" s="6"/>
      <c r="D19" s="6"/>
      <c r="E19" s="10">
        <f>'Special Revenue Funds-Fest Bldg'!D53</f>
        <v>52399.75</v>
      </c>
      <c r="F19" s="11" t="s">
        <v>553</v>
      </c>
      <c r="G19" s="6"/>
      <c r="H19" s="87">
        <v>270</v>
      </c>
      <c r="M19" s="67"/>
    </row>
    <row r="20" spans="1:14" x14ac:dyDescent="0.2">
      <c r="A20" s="15"/>
      <c r="B20" s="11"/>
      <c r="C20" s="6"/>
      <c r="D20" s="6"/>
      <c r="E20" s="16">
        <f>EDA!C7</f>
        <v>10500</v>
      </c>
      <c r="F20" s="31" t="s">
        <v>997</v>
      </c>
      <c r="G20" s="6"/>
      <c r="H20" s="7">
        <v>280</v>
      </c>
      <c r="M20" s="67"/>
    </row>
    <row r="21" spans="1:14" x14ac:dyDescent="0.2">
      <c r="A21" s="5"/>
      <c r="E21" s="10">
        <f>'Tax Abatement'!C8</f>
        <v>13000</v>
      </c>
      <c r="F21" s="31" t="s">
        <v>235</v>
      </c>
      <c r="G21" s="6"/>
      <c r="H21" s="87">
        <v>316</v>
      </c>
      <c r="M21" s="67"/>
    </row>
    <row r="22" spans="1:14" x14ac:dyDescent="0.2">
      <c r="C22" s="6"/>
      <c r="D22" s="6"/>
      <c r="E22" s="10">
        <f>Streets!D69</f>
        <v>0</v>
      </c>
      <c r="F22" s="31" t="s">
        <v>970</v>
      </c>
      <c r="H22" s="87">
        <v>425</v>
      </c>
      <c r="M22" s="67"/>
    </row>
    <row r="23" spans="1:14" x14ac:dyDescent="0.2">
      <c r="A23" s="15"/>
      <c r="B23" s="11"/>
      <c r="E23" s="16">
        <f>'Capital Equipment'!B18</f>
        <v>50000</v>
      </c>
      <c r="F23" s="31" t="s">
        <v>998</v>
      </c>
      <c r="G23" s="6"/>
      <c r="H23" s="7">
        <v>435</v>
      </c>
      <c r="M23" s="67"/>
    </row>
    <row r="24" spans="1:14" x14ac:dyDescent="0.2">
      <c r="A24" s="84"/>
      <c r="B24" s="11"/>
      <c r="E24" s="16">
        <f>Contingency!C7</f>
        <v>20000</v>
      </c>
      <c r="F24" s="31" t="s">
        <v>915</v>
      </c>
      <c r="G24" s="6"/>
      <c r="H24" s="7">
        <v>460</v>
      </c>
      <c r="M24" s="67"/>
    </row>
    <row r="25" spans="1:14" x14ac:dyDescent="0.2">
      <c r="A25" s="84"/>
      <c r="B25" s="11"/>
      <c r="E25" s="16">
        <v>0</v>
      </c>
      <c r="F25" s="31" t="s">
        <v>1000</v>
      </c>
      <c r="G25" s="6"/>
      <c r="H25" s="7">
        <v>625</v>
      </c>
      <c r="J25" s="65"/>
      <c r="K25" s="64"/>
      <c r="M25" s="67"/>
    </row>
    <row r="26" spans="1:14" x14ac:dyDescent="0.2">
      <c r="A26" s="84"/>
      <c r="B26" s="11"/>
      <c r="E26" s="10">
        <v>0</v>
      </c>
      <c r="F26" s="31" t="s">
        <v>1051</v>
      </c>
      <c r="G26" s="6"/>
      <c r="H26" s="87">
        <v>620</v>
      </c>
      <c r="J26" s="44"/>
      <c r="K26" s="29"/>
      <c r="M26" s="127"/>
    </row>
    <row r="27" spans="1:14" s="29" customFormat="1" x14ac:dyDescent="0.2">
      <c r="A27" s="5"/>
      <c r="B27" s="6"/>
      <c r="C27" s="6"/>
      <c r="D27" s="6"/>
      <c r="E27" s="16"/>
      <c r="G27" s="6"/>
      <c r="H27" s="7"/>
      <c r="J27" s="41"/>
      <c r="K27"/>
      <c r="M27" s="128"/>
    </row>
    <row r="28" spans="1:14" x14ac:dyDescent="0.2">
      <c r="A28" s="37">
        <f>SUM(A6:A27)</f>
        <v>1121419</v>
      </c>
      <c r="B28" s="6" t="s">
        <v>69</v>
      </c>
      <c r="C28" s="6"/>
      <c r="D28" s="6"/>
      <c r="E28" s="16">
        <f>SUM(E6:E27)</f>
        <v>1121167.4495999999</v>
      </c>
      <c r="F28" s="115" t="s">
        <v>71</v>
      </c>
      <c r="G28" s="6"/>
      <c r="H28" s="7"/>
      <c r="J28" s="42"/>
      <c r="M28" s="127"/>
    </row>
    <row r="29" spans="1:14" x14ac:dyDescent="0.2">
      <c r="A29" s="39"/>
      <c r="B29" s="6"/>
      <c r="C29" s="6"/>
      <c r="D29" s="6"/>
      <c r="E29" s="6"/>
      <c r="G29" s="6"/>
      <c r="H29" s="7"/>
      <c r="J29" s="53"/>
    </row>
    <row r="30" spans="1:14" x14ac:dyDescent="0.2">
      <c r="A30" s="75">
        <f>A28-E28</f>
        <v>251.55040000006557</v>
      </c>
      <c r="B30" s="76" t="s">
        <v>944</v>
      </c>
      <c r="C30" s="8"/>
      <c r="D30" s="8"/>
      <c r="E30" s="8"/>
      <c r="F30" s="8"/>
      <c r="G30" s="8"/>
      <c r="H30" s="9"/>
      <c r="J30" s="105"/>
      <c r="K30" s="60"/>
    </row>
    <row r="31" spans="1:14" x14ac:dyDescent="0.2">
      <c r="A31" s="74" t="s">
        <v>1001</v>
      </c>
      <c r="B31" s="6"/>
      <c r="C31" s="6"/>
      <c r="D31" s="6"/>
      <c r="E31" s="6"/>
      <c r="F31" s="106" t="s">
        <v>966</v>
      </c>
      <c r="G31" s="6"/>
      <c r="H31" s="7"/>
      <c r="J31" s="96"/>
      <c r="K31" s="102"/>
    </row>
    <row r="32" spans="1:14" x14ac:dyDescent="0.2">
      <c r="A32" s="5" t="s">
        <v>88</v>
      </c>
      <c r="B32" s="6"/>
      <c r="C32" s="6"/>
      <c r="D32" s="6"/>
      <c r="E32" s="6"/>
      <c r="F32" s="107" t="s">
        <v>960</v>
      </c>
      <c r="G32" s="6"/>
      <c r="H32" s="7"/>
      <c r="J32" s="97"/>
      <c r="K32" s="100"/>
    </row>
    <row r="33" spans="1:12" ht="15" x14ac:dyDescent="0.2">
      <c r="A33" s="132">
        <v>150573</v>
      </c>
      <c r="B33" s="55" t="s">
        <v>68</v>
      </c>
      <c r="C33" s="6"/>
      <c r="D33" s="6"/>
      <c r="E33" s="6"/>
      <c r="F33" s="88" t="s">
        <v>961</v>
      </c>
      <c r="G33" s="6"/>
      <c r="H33" s="7"/>
      <c r="J33" s="98"/>
      <c r="K33" s="100"/>
    </row>
    <row r="34" spans="1:12" x14ac:dyDescent="0.2">
      <c r="A34" s="5"/>
      <c r="C34" s="6"/>
      <c r="D34" s="6"/>
      <c r="E34" s="6"/>
      <c r="F34" s="89" t="s">
        <v>962</v>
      </c>
      <c r="G34" s="6"/>
      <c r="H34" s="7"/>
      <c r="J34" s="99"/>
      <c r="K34" s="101"/>
    </row>
    <row r="35" spans="1:12" x14ac:dyDescent="0.2">
      <c r="A35" s="15">
        <f>'Debt Service Summary'!E3</f>
        <v>14501</v>
      </c>
      <c r="B35" s="29" t="s">
        <v>956</v>
      </c>
      <c r="C35" s="6"/>
      <c r="D35" s="6"/>
      <c r="E35" s="6"/>
      <c r="F35" s="90">
        <v>11000</v>
      </c>
      <c r="G35" s="6"/>
      <c r="H35" s="7"/>
      <c r="J35" s="31"/>
      <c r="K35" s="11"/>
    </row>
    <row r="36" spans="1:12" x14ac:dyDescent="0.2">
      <c r="A36" s="15">
        <f>'Debt Service Summary'!E5</f>
        <v>126529</v>
      </c>
      <c r="B36" s="31" t="s">
        <v>958</v>
      </c>
      <c r="C36" s="6"/>
      <c r="D36" s="6"/>
      <c r="E36" s="6"/>
      <c r="F36" s="86"/>
      <c r="G36" s="6"/>
      <c r="H36" s="7"/>
      <c r="J36" s="100"/>
      <c r="K36" s="98"/>
      <c r="L36" s="36"/>
    </row>
    <row r="37" spans="1:12" x14ac:dyDescent="0.2">
      <c r="A37" s="15">
        <f>'TIF GO 2007A'!D12</f>
        <v>38776</v>
      </c>
      <c r="B37" s="60" t="s">
        <v>957</v>
      </c>
      <c r="C37" s="6"/>
      <c r="D37" s="6"/>
      <c r="E37" s="6"/>
      <c r="F37" s="94" t="s">
        <v>960</v>
      </c>
      <c r="G37" s="6"/>
      <c r="H37" s="7"/>
      <c r="J37" s="100"/>
      <c r="K37" s="103"/>
      <c r="L37" s="36"/>
    </row>
    <row r="38" spans="1:12" x14ac:dyDescent="0.2">
      <c r="A38" s="81">
        <f>'Debt Service Summary'!E6</f>
        <v>50572.5</v>
      </c>
      <c r="B38" s="31" t="s">
        <v>959</v>
      </c>
      <c r="C38" s="6"/>
      <c r="D38" s="6"/>
      <c r="E38" s="6"/>
      <c r="F38" s="94" t="s">
        <v>967</v>
      </c>
      <c r="G38" s="6"/>
      <c r="H38" s="7"/>
      <c r="J38" s="101"/>
      <c r="K38" s="104"/>
      <c r="L38" s="36"/>
    </row>
    <row r="39" spans="1:12" x14ac:dyDescent="0.2">
      <c r="A39" s="81">
        <f>SUM(A35:A38)</f>
        <v>230378.5</v>
      </c>
      <c r="B39" s="85" t="s">
        <v>963</v>
      </c>
      <c r="C39" s="8"/>
      <c r="D39" s="8"/>
      <c r="E39" s="8"/>
      <c r="F39" s="95">
        <v>10910</v>
      </c>
      <c r="G39" s="8"/>
      <c r="H39" s="9"/>
      <c r="K39" s="10"/>
      <c r="L39" s="41"/>
    </row>
    <row r="40" spans="1:12" x14ac:dyDescent="0.2">
      <c r="A40" s="16"/>
      <c r="B40" s="62"/>
      <c r="E40" s="6"/>
      <c r="F40" s="6"/>
      <c r="K40" s="10"/>
      <c r="L40" s="41"/>
    </row>
    <row r="41" spans="1:12" x14ac:dyDescent="0.2">
      <c r="A41" s="16"/>
      <c r="B41" s="6"/>
      <c r="L41" s="41"/>
    </row>
    <row r="42" spans="1:12" x14ac:dyDescent="0.2">
      <c r="A42" s="16"/>
      <c r="B42" s="6"/>
    </row>
    <row r="43" spans="1:12" x14ac:dyDescent="0.2">
      <c r="A43" s="6"/>
      <c r="B43" s="6"/>
    </row>
    <row r="44" spans="1:12" x14ac:dyDescent="0.2">
      <c r="A44" s="11"/>
    </row>
    <row r="45" spans="1:12" x14ac:dyDescent="0.2">
      <c r="A45" s="91"/>
    </row>
    <row r="46" spans="1:12" x14ac:dyDescent="0.2">
      <c r="A46" s="11"/>
    </row>
    <row r="47" spans="1:12" x14ac:dyDescent="0.2">
      <c r="A47" s="6"/>
    </row>
    <row r="48" spans="1:12" x14ac:dyDescent="0.2">
      <c r="A48" s="6"/>
    </row>
    <row r="49" spans="1:1" x14ac:dyDescent="0.2">
      <c r="A49" s="6"/>
    </row>
  </sheetData>
  <phoneticPr fontId="2" type="noConversion"/>
  <pageMargins left="0" right="0" top="0.75" bottom="0.75" header="0.3" footer="0.3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G8" sqref="G8"/>
    </sheetView>
  </sheetViews>
  <sheetFormatPr defaultRowHeight="12.75" x14ac:dyDescent="0.2"/>
  <cols>
    <col min="1" max="1" width="17.7109375" customWidth="1"/>
    <col min="2" max="2" width="28.5703125" customWidth="1"/>
    <col min="3" max="3" width="5.7109375" customWidth="1"/>
    <col min="4" max="7" width="11.7109375" customWidth="1"/>
    <col min="8" max="10" width="10.7109375" customWidth="1"/>
  </cols>
  <sheetData>
    <row r="1" spans="1:12" ht="15.75" x14ac:dyDescent="0.25">
      <c r="B1" s="14" t="s">
        <v>720</v>
      </c>
      <c r="D1" s="1">
        <v>2015</v>
      </c>
      <c r="E1" s="51">
        <v>2014</v>
      </c>
      <c r="F1" s="51">
        <v>2014</v>
      </c>
      <c r="G1" s="51">
        <v>2013</v>
      </c>
      <c r="H1" s="51">
        <v>2012</v>
      </c>
      <c r="I1" s="51">
        <v>2011</v>
      </c>
      <c r="J1" s="17">
        <v>2010</v>
      </c>
    </row>
    <row r="2" spans="1:12" x14ac:dyDescent="0.2">
      <c r="D2" s="1" t="s">
        <v>596</v>
      </c>
      <c r="E2" s="51" t="s">
        <v>1005</v>
      </c>
      <c r="F2" s="51" t="s">
        <v>596</v>
      </c>
      <c r="G2" s="51" t="s">
        <v>1002</v>
      </c>
      <c r="H2" s="51" t="s">
        <v>597</v>
      </c>
      <c r="I2" s="51" t="s">
        <v>597</v>
      </c>
      <c r="J2" s="51" t="s">
        <v>597</v>
      </c>
    </row>
    <row r="5" spans="1:12" x14ac:dyDescent="0.2">
      <c r="A5" s="13"/>
      <c r="B5" s="13"/>
      <c r="J5" s="10"/>
    </row>
    <row r="6" spans="1:12" x14ac:dyDescent="0.2">
      <c r="A6" s="13"/>
      <c r="B6" s="13"/>
      <c r="J6" s="10"/>
    </row>
    <row r="8" spans="1:12" x14ac:dyDescent="0.2">
      <c r="A8" t="s">
        <v>721</v>
      </c>
      <c r="B8" s="13" t="s">
        <v>692</v>
      </c>
      <c r="D8" s="10">
        <v>2500</v>
      </c>
      <c r="E8" s="10">
        <v>2500</v>
      </c>
      <c r="F8" s="10">
        <v>2500</v>
      </c>
      <c r="G8" s="10">
        <v>2500</v>
      </c>
      <c r="H8" s="21">
        <v>2500</v>
      </c>
      <c r="I8" s="21">
        <v>2500</v>
      </c>
      <c r="J8" s="10">
        <v>2500</v>
      </c>
    </row>
    <row r="9" spans="1:12" x14ac:dyDescent="0.2">
      <c r="J9" s="10"/>
      <c r="L9" s="29"/>
    </row>
    <row r="10" spans="1:12" x14ac:dyDescent="0.2">
      <c r="D10" s="22">
        <f>SUM(D8:D9)</f>
        <v>2500</v>
      </c>
    </row>
    <row r="12" spans="1:12" x14ac:dyDescent="0.2">
      <c r="H12" s="13"/>
      <c r="I12" s="13"/>
    </row>
    <row r="14" spans="1:12" x14ac:dyDescent="0.2">
      <c r="H14" s="13"/>
      <c r="I14" s="13"/>
    </row>
    <row r="16" spans="1:12" x14ac:dyDescent="0.2">
      <c r="H16" s="13"/>
      <c r="I16" s="13"/>
    </row>
    <row r="17" spans="8:9" x14ac:dyDescent="0.2">
      <c r="H17" s="13"/>
      <c r="I17" s="13"/>
    </row>
    <row r="25" spans="8:9" x14ac:dyDescent="0.2">
      <c r="H25" s="13"/>
      <c r="I25" s="13"/>
    </row>
    <row r="26" spans="8:9" x14ac:dyDescent="0.2">
      <c r="H26" s="13"/>
      <c r="I26" s="13"/>
    </row>
    <row r="27" spans="8:9" x14ac:dyDescent="0.2">
      <c r="H27" s="25"/>
      <c r="I27" s="25"/>
    </row>
  </sheetData>
  <pageMargins left="0.25" right="0.25" top="0.75" bottom="0.75" header="0.3" footer="0.3"/>
  <pageSetup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71"/>
  <sheetViews>
    <sheetView topLeftCell="A55" workbookViewId="0">
      <selection activeCell="E34" sqref="E34"/>
    </sheetView>
  </sheetViews>
  <sheetFormatPr defaultRowHeight="12.75" x14ac:dyDescent="0.2"/>
  <cols>
    <col min="1" max="1" width="18.42578125" customWidth="1"/>
    <col min="2" max="2" width="31.42578125" customWidth="1"/>
    <col min="3" max="3" width="6.85546875" customWidth="1"/>
    <col min="4" max="4" width="11.5703125" customWidth="1"/>
    <col min="5" max="7" width="11.7109375" customWidth="1"/>
    <col min="8" max="10" width="10.7109375" customWidth="1"/>
  </cols>
  <sheetData>
    <row r="1" spans="1:10" ht="15.75" x14ac:dyDescent="0.25">
      <c r="B1" s="14" t="s">
        <v>931</v>
      </c>
      <c r="D1" s="1">
        <v>2015</v>
      </c>
      <c r="E1" s="51">
        <v>2014</v>
      </c>
      <c r="F1" s="51">
        <v>2014</v>
      </c>
      <c r="G1" s="51">
        <v>2013</v>
      </c>
      <c r="H1" s="51">
        <v>2012</v>
      </c>
      <c r="I1" s="51">
        <v>2011</v>
      </c>
      <c r="J1" s="18">
        <v>2010</v>
      </c>
    </row>
    <row r="2" spans="1:10" x14ac:dyDescent="0.2">
      <c r="A2" t="s">
        <v>89</v>
      </c>
      <c r="D2" s="1" t="s">
        <v>596</v>
      </c>
      <c r="E2" s="51" t="s">
        <v>1076</v>
      </c>
      <c r="F2" s="51" t="s">
        <v>596</v>
      </c>
      <c r="G2" s="51" t="s">
        <v>1002</v>
      </c>
      <c r="H2" s="51" t="s">
        <v>597</v>
      </c>
      <c r="I2" s="51" t="s">
        <v>597</v>
      </c>
      <c r="J2" s="51" t="s">
        <v>597</v>
      </c>
    </row>
    <row r="3" spans="1:10" x14ac:dyDescent="0.2">
      <c r="A3" t="s">
        <v>223</v>
      </c>
      <c r="J3" s="13"/>
    </row>
    <row r="4" spans="1:10" x14ac:dyDescent="0.2">
      <c r="A4" t="s">
        <v>301</v>
      </c>
      <c r="B4" t="s">
        <v>109</v>
      </c>
      <c r="D4" s="10">
        <v>35859.199999999997</v>
      </c>
      <c r="E4" s="10">
        <v>27513</v>
      </c>
      <c r="F4" s="10">
        <v>35200</v>
      </c>
      <c r="G4" s="10">
        <v>34307.99</v>
      </c>
      <c r="H4" s="45">
        <v>33387.199999999997</v>
      </c>
      <c r="I4" s="45">
        <v>32320</v>
      </c>
      <c r="J4" s="45">
        <v>31512</v>
      </c>
    </row>
    <row r="5" spans="1:10" x14ac:dyDescent="0.2">
      <c r="A5" t="s">
        <v>302</v>
      </c>
      <c r="B5" t="s">
        <v>110</v>
      </c>
      <c r="D5" s="10">
        <v>5000</v>
      </c>
      <c r="E5" s="10">
        <v>5108.04</v>
      </c>
      <c r="F5" s="10">
        <v>5000</v>
      </c>
      <c r="G5" s="10">
        <v>4877.6099999999997</v>
      </c>
      <c r="H5" s="45">
        <v>4247.37</v>
      </c>
      <c r="I5" s="45">
        <v>4339</v>
      </c>
      <c r="J5" s="45">
        <v>5329</v>
      </c>
    </row>
    <row r="6" spans="1:10" x14ac:dyDescent="0.2">
      <c r="A6" t="s">
        <v>629</v>
      </c>
      <c r="B6" t="s">
        <v>630</v>
      </c>
      <c r="D6" s="10">
        <v>13468</v>
      </c>
      <c r="E6" s="10">
        <v>9210.48</v>
      </c>
      <c r="F6" s="10">
        <v>13048</v>
      </c>
      <c r="G6" s="10">
        <v>10652.97</v>
      </c>
      <c r="H6" s="45">
        <v>11823.31</v>
      </c>
      <c r="I6" s="42">
        <v>6084</v>
      </c>
      <c r="J6" s="42">
        <v>0</v>
      </c>
    </row>
    <row r="7" spans="1:10" x14ac:dyDescent="0.2">
      <c r="A7" t="s">
        <v>583</v>
      </c>
      <c r="B7" t="s">
        <v>53</v>
      </c>
      <c r="D7" s="10">
        <v>0</v>
      </c>
      <c r="E7" s="10">
        <v>0</v>
      </c>
      <c r="F7" s="10">
        <v>0</v>
      </c>
      <c r="G7" s="10">
        <v>0</v>
      </c>
      <c r="H7" s="44">
        <v>0</v>
      </c>
      <c r="I7" s="45">
        <v>259</v>
      </c>
      <c r="J7" s="45">
        <v>7711</v>
      </c>
    </row>
    <row r="8" spans="1:10" x14ac:dyDescent="0.2">
      <c r="A8" t="s">
        <v>219</v>
      </c>
      <c r="D8" s="10"/>
      <c r="E8" s="10"/>
      <c r="F8" s="10"/>
      <c r="G8" s="10"/>
      <c r="H8" s="45"/>
      <c r="I8" s="45"/>
      <c r="J8" s="45"/>
    </row>
    <row r="9" spans="1:10" x14ac:dyDescent="0.2">
      <c r="A9" t="s">
        <v>303</v>
      </c>
      <c r="B9" t="s">
        <v>221</v>
      </c>
      <c r="D9" s="10">
        <f>0.075*SUM(D4:D6)</f>
        <v>4074.5399999999995</v>
      </c>
      <c r="E9" s="10">
        <v>3249.42</v>
      </c>
      <c r="F9" s="10">
        <f>SUM(F4:F7)*0.0725</f>
        <v>3860.4799999999996</v>
      </c>
      <c r="G9" s="10">
        <v>3618.9</v>
      </c>
      <c r="H9" s="41">
        <v>3603.17</v>
      </c>
      <c r="I9" s="41">
        <v>3118</v>
      </c>
      <c r="J9" s="41">
        <f>0.07*(J4+J5+J7)</f>
        <v>3118.6400000000003</v>
      </c>
    </row>
    <row r="10" spans="1:10" x14ac:dyDescent="0.2">
      <c r="A10" t="s">
        <v>304</v>
      </c>
      <c r="B10" t="s">
        <v>92</v>
      </c>
      <c r="D10" s="10">
        <f>0.062*SUM(D4:D6)</f>
        <v>3368.2864</v>
      </c>
      <c r="E10" s="10">
        <v>2748.88</v>
      </c>
      <c r="F10" s="10">
        <f>0.062*SUM(F4:F6)</f>
        <v>3301.3760000000002</v>
      </c>
      <c r="G10" s="10">
        <v>3068.33</v>
      </c>
      <c r="H10" s="41">
        <v>3059.35</v>
      </c>
      <c r="I10" s="41">
        <v>2596</v>
      </c>
      <c r="J10" s="41">
        <f>0.062*SUM(J4:J7)</f>
        <v>2762.2240000000002</v>
      </c>
    </row>
    <row r="11" spans="1:10" x14ac:dyDescent="0.2">
      <c r="A11" t="s">
        <v>305</v>
      </c>
      <c r="B11" t="s">
        <v>94</v>
      </c>
      <c r="D11" s="10">
        <f>0.0145*SUM(D4:D6)</f>
        <v>787.74440000000004</v>
      </c>
      <c r="E11" s="10">
        <v>642.87</v>
      </c>
      <c r="F11" s="10">
        <f>0.0145*SUM(F4:F7)</f>
        <v>772.096</v>
      </c>
      <c r="G11" s="10">
        <v>717.59</v>
      </c>
      <c r="H11" s="41">
        <v>715.49</v>
      </c>
      <c r="I11" s="41">
        <f>0.0145*SUM(I4:I7)</f>
        <v>623.529</v>
      </c>
      <c r="J11" s="41">
        <v>625</v>
      </c>
    </row>
    <row r="12" spans="1:10" x14ac:dyDescent="0.2">
      <c r="A12" t="s">
        <v>214</v>
      </c>
      <c r="D12" s="10"/>
      <c r="E12" s="10"/>
      <c r="F12" s="10"/>
      <c r="G12" s="10"/>
      <c r="H12" s="43"/>
      <c r="I12" s="43"/>
      <c r="J12" s="43"/>
    </row>
    <row r="13" spans="1:10" x14ac:dyDescent="0.2">
      <c r="A13" t="s">
        <v>306</v>
      </c>
      <c r="B13" t="s">
        <v>216</v>
      </c>
      <c r="D13" s="10">
        <f>803*12</f>
        <v>9636</v>
      </c>
      <c r="E13" s="10">
        <v>8030</v>
      </c>
      <c r="F13" s="10">
        <f>803*12</f>
        <v>9636</v>
      </c>
      <c r="G13" s="10">
        <v>9402</v>
      </c>
      <c r="H13" s="47">
        <v>9402</v>
      </c>
      <c r="I13" s="47">
        <v>9984</v>
      </c>
      <c r="J13" s="47">
        <v>9036</v>
      </c>
    </row>
    <row r="14" spans="1:10" x14ac:dyDescent="0.2">
      <c r="A14" t="s">
        <v>307</v>
      </c>
      <c r="B14" t="s">
        <v>218</v>
      </c>
      <c r="D14" s="10">
        <f>56.61*12</f>
        <v>679.31999999999994</v>
      </c>
      <c r="E14" s="10">
        <v>566.1</v>
      </c>
      <c r="F14" s="10">
        <f>56.61*12</f>
        <v>679.31999999999994</v>
      </c>
      <c r="G14" s="10">
        <v>503.02</v>
      </c>
      <c r="H14" s="45">
        <v>416.82</v>
      </c>
      <c r="I14" s="45">
        <v>607</v>
      </c>
      <c r="J14" s="45">
        <v>663</v>
      </c>
    </row>
    <row r="15" spans="1:10" x14ac:dyDescent="0.2">
      <c r="A15" t="s">
        <v>50</v>
      </c>
      <c r="D15" s="10"/>
      <c r="E15" s="10"/>
      <c r="F15" s="10"/>
      <c r="G15" s="10"/>
      <c r="H15" s="45"/>
      <c r="I15" s="45"/>
      <c r="J15" s="45"/>
    </row>
    <row r="16" spans="1:10" x14ac:dyDescent="0.2">
      <c r="A16" t="s">
        <v>308</v>
      </c>
      <c r="B16" t="s">
        <v>213</v>
      </c>
      <c r="D16" s="10">
        <v>2700</v>
      </c>
      <c r="E16" s="10">
        <v>0</v>
      </c>
      <c r="F16" s="10">
        <v>2700</v>
      </c>
      <c r="G16" s="10">
        <v>1525</v>
      </c>
      <c r="H16" s="45">
        <v>1470</v>
      </c>
      <c r="I16" s="45">
        <v>4271</v>
      </c>
      <c r="J16" s="45">
        <v>2400</v>
      </c>
    </row>
    <row r="17" spans="1:10" x14ac:dyDescent="0.2">
      <c r="A17" t="s">
        <v>36</v>
      </c>
      <c r="D17" s="10"/>
      <c r="E17" s="10"/>
      <c r="F17" s="10"/>
      <c r="G17" s="10"/>
      <c r="H17" s="43"/>
      <c r="I17" s="43"/>
      <c r="J17" s="43"/>
    </row>
    <row r="18" spans="1:10" x14ac:dyDescent="0.2">
      <c r="A18" t="s">
        <v>309</v>
      </c>
      <c r="B18" t="s">
        <v>49</v>
      </c>
      <c r="D18" s="10">
        <v>0</v>
      </c>
      <c r="E18" s="10">
        <v>0</v>
      </c>
      <c r="F18" s="10">
        <v>0</v>
      </c>
      <c r="G18" s="10">
        <v>16.02</v>
      </c>
      <c r="H18" s="44">
        <v>0</v>
      </c>
      <c r="I18" s="44">
        <v>0</v>
      </c>
      <c r="J18" s="44">
        <v>0</v>
      </c>
    </row>
    <row r="19" spans="1:10" x14ac:dyDescent="0.2">
      <c r="A19" t="s">
        <v>180</v>
      </c>
      <c r="D19" s="10"/>
      <c r="E19" s="10"/>
      <c r="F19" s="10"/>
      <c r="G19" s="10"/>
      <c r="H19" s="43"/>
      <c r="I19" s="43"/>
      <c r="J19" s="43"/>
    </row>
    <row r="20" spans="1:10" x14ac:dyDescent="0.2">
      <c r="A20" t="s">
        <v>310</v>
      </c>
      <c r="B20" t="s">
        <v>182</v>
      </c>
      <c r="D20" s="10">
        <v>0</v>
      </c>
      <c r="E20" s="10">
        <v>0</v>
      </c>
      <c r="F20" s="10">
        <v>100</v>
      </c>
      <c r="G20" s="10">
        <v>0</v>
      </c>
      <c r="H20" s="45">
        <v>66.37</v>
      </c>
      <c r="I20" s="45">
        <v>247</v>
      </c>
      <c r="J20" s="45">
        <v>0</v>
      </c>
    </row>
    <row r="21" spans="1:10" x14ac:dyDescent="0.2">
      <c r="A21" t="s">
        <v>311</v>
      </c>
      <c r="B21" t="s">
        <v>183</v>
      </c>
      <c r="D21" s="10">
        <v>20000</v>
      </c>
      <c r="E21" s="10">
        <v>10366.86</v>
      </c>
      <c r="F21" s="10">
        <v>18000</v>
      </c>
      <c r="G21" s="10">
        <v>11392.97</v>
      </c>
      <c r="H21" s="45">
        <v>11297.69</v>
      </c>
      <c r="I21" s="45">
        <v>13804</v>
      </c>
      <c r="J21" s="45">
        <v>9480</v>
      </c>
    </row>
    <row r="22" spans="1:10" x14ac:dyDescent="0.2">
      <c r="A22" t="s">
        <v>312</v>
      </c>
      <c r="B22" t="s">
        <v>205</v>
      </c>
      <c r="D22" s="10">
        <v>2000</v>
      </c>
      <c r="E22" s="10">
        <v>1164.9000000000001</v>
      </c>
      <c r="F22" s="10">
        <v>500</v>
      </c>
      <c r="G22" s="10">
        <v>347.32</v>
      </c>
      <c r="H22" s="45">
        <v>945.62</v>
      </c>
      <c r="I22" s="45">
        <v>87</v>
      </c>
      <c r="J22" s="45">
        <v>462</v>
      </c>
    </row>
    <row r="23" spans="1:10" x14ac:dyDescent="0.2">
      <c r="A23" t="s">
        <v>313</v>
      </c>
      <c r="B23" t="s">
        <v>33</v>
      </c>
      <c r="D23" s="10">
        <v>0</v>
      </c>
      <c r="E23" s="10">
        <v>0</v>
      </c>
      <c r="F23" s="10">
        <v>0</v>
      </c>
      <c r="G23" s="10">
        <v>0</v>
      </c>
      <c r="H23" s="45">
        <v>0</v>
      </c>
      <c r="I23" s="45">
        <v>0</v>
      </c>
      <c r="J23" s="45">
        <v>0</v>
      </c>
    </row>
    <row r="24" spans="1:10" x14ac:dyDescent="0.2">
      <c r="A24" t="s">
        <v>314</v>
      </c>
      <c r="B24" t="s">
        <v>34</v>
      </c>
      <c r="D24" s="10">
        <v>0</v>
      </c>
      <c r="E24" s="10">
        <v>193.74</v>
      </c>
      <c r="F24" s="10">
        <v>0</v>
      </c>
      <c r="G24" s="10">
        <v>1070.3</v>
      </c>
      <c r="H24" s="45">
        <v>487.22</v>
      </c>
      <c r="I24" s="45">
        <v>277</v>
      </c>
      <c r="J24" s="45">
        <v>687</v>
      </c>
    </row>
    <row r="25" spans="1:10" x14ac:dyDescent="0.2">
      <c r="A25" t="s">
        <v>315</v>
      </c>
      <c r="B25" t="s">
        <v>35</v>
      </c>
      <c r="D25" s="10">
        <v>1400</v>
      </c>
      <c r="E25" s="10">
        <v>1318.83</v>
      </c>
      <c r="F25" s="10">
        <v>500</v>
      </c>
      <c r="G25" s="10">
        <v>1178.43</v>
      </c>
      <c r="H25" s="45">
        <v>7139.32</v>
      </c>
      <c r="I25" s="45">
        <v>638</v>
      </c>
      <c r="J25" s="45">
        <v>5207</v>
      </c>
    </row>
    <row r="26" spans="1:10" x14ac:dyDescent="0.2">
      <c r="A26" t="s">
        <v>23</v>
      </c>
      <c r="D26" s="10"/>
      <c r="E26" s="10"/>
      <c r="F26" s="10"/>
      <c r="G26" s="10"/>
      <c r="H26" s="45"/>
      <c r="I26" s="45"/>
      <c r="J26" s="45"/>
    </row>
    <row r="27" spans="1:10" x14ac:dyDescent="0.2">
      <c r="A27" t="s">
        <v>316</v>
      </c>
      <c r="B27" t="s">
        <v>171</v>
      </c>
      <c r="D27" s="10">
        <v>10000</v>
      </c>
      <c r="E27" s="10">
        <v>9070.77</v>
      </c>
      <c r="F27" s="10">
        <v>6000</v>
      </c>
      <c r="G27" s="10">
        <v>6574.65</v>
      </c>
      <c r="H27" s="45">
        <v>3546.74</v>
      </c>
      <c r="I27" s="45">
        <v>2296</v>
      </c>
      <c r="J27" s="45">
        <v>3183</v>
      </c>
    </row>
    <row r="28" spans="1:10" x14ac:dyDescent="0.2">
      <c r="A28" t="s">
        <v>317</v>
      </c>
      <c r="B28" t="s">
        <v>172</v>
      </c>
      <c r="D28" s="10">
        <v>1000</v>
      </c>
      <c r="E28" s="10">
        <v>0</v>
      </c>
      <c r="F28" s="10">
        <v>1000</v>
      </c>
      <c r="G28" s="10">
        <v>1646.73</v>
      </c>
      <c r="H28" s="45">
        <v>806.53</v>
      </c>
      <c r="I28" s="45">
        <v>1199</v>
      </c>
      <c r="J28" s="45">
        <v>511</v>
      </c>
    </row>
    <row r="29" spans="1:10" x14ac:dyDescent="0.2">
      <c r="A29" t="s">
        <v>318</v>
      </c>
      <c r="B29" t="s">
        <v>175</v>
      </c>
      <c r="D29" s="10">
        <v>15000</v>
      </c>
      <c r="E29" s="10">
        <v>8950.6200000000008</v>
      </c>
      <c r="F29" s="10">
        <v>15301</v>
      </c>
      <c r="G29" s="10">
        <v>1853.2</v>
      </c>
      <c r="H29" s="45">
        <v>7522.15</v>
      </c>
      <c r="I29" s="45">
        <v>4850</v>
      </c>
      <c r="J29" s="45">
        <v>5427</v>
      </c>
    </row>
    <row r="30" spans="1:10" x14ac:dyDescent="0.2">
      <c r="A30" t="s">
        <v>817</v>
      </c>
      <c r="B30" t="s">
        <v>176</v>
      </c>
      <c r="D30" s="10">
        <v>0</v>
      </c>
      <c r="E30" s="10">
        <v>0</v>
      </c>
      <c r="F30" s="10">
        <v>0</v>
      </c>
      <c r="G30" s="10">
        <v>0</v>
      </c>
      <c r="H30" s="45">
        <v>187.4</v>
      </c>
      <c r="I30" s="45">
        <v>0</v>
      </c>
      <c r="J30" s="45">
        <v>0</v>
      </c>
    </row>
    <row r="31" spans="1:10" x14ac:dyDescent="0.2">
      <c r="A31" t="s">
        <v>319</v>
      </c>
      <c r="B31" t="s">
        <v>177</v>
      </c>
      <c r="D31" s="10">
        <v>1750</v>
      </c>
      <c r="E31" s="10">
        <v>0</v>
      </c>
      <c r="F31" s="10">
        <v>1750</v>
      </c>
      <c r="G31" s="10">
        <v>1918.76</v>
      </c>
      <c r="H31" s="45">
        <v>1245.81</v>
      </c>
      <c r="I31" s="45"/>
      <c r="J31" s="45">
        <v>403</v>
      </c>
    </row>
    <row r="32" spans="1:10" x14ac:dyDescent="0.2">
      <c r="A32" t="s">
        <v>320</v>
      </c>
      <c r="B32" t="s">
        <v>179</v>
      </c>
      <c r="D32" s="10">
        <v>0</v>
      </c>
      <c r="E32" s="10">
        <v>0</v>
      </c>
      <c r="F32" s="10">
        <v>200</v>
      </c>
      <c r="G32" s="10">
        <v>452.19</v>
      </c>
      <c r="H32" s="45">
        <v>143.62</v>
      </c>
      <c r="I32" s="45">
        <f>194+18</f>
        <v>212</v>
      </c>
      <c r="J32" s="45">
        <v>1455</v>
      </c>
    </row>
    <row r="33" spans="1:10" x14ac:dyDescent="0.2">
      <c r="A33" t="s">
        <v>6</v>
      </c>
      <c r="D33" s="10"/>
      <c r="E33" s="10"/>
      <c r="F33" s="10"/>
      <c r="G33" s="10"/>
      <c r="H33" s="45"/>
      <c r="I33" s="45"/>
      <c r="J33" s="45"/>
    </row>
    <row r="34" spans="1:10" x14ac:dyDescent="0.2">
      <c r="A34" t="s">
        <v>321</v>
      </c>
      <c r="B34" t="s">
        <v>8</v>
      </c>
      <c r="D34" s="10">
        <v>0</v>
      </c>
      <c r="E34" s="10">
        <v>2193</v>
      </c>
      <c r="F34" s="10">
        <v>1350</v>
      </c>
      <c r="G34" s="10">
        <v>1313</v>
      </c>
      <c r="H34" s="45">
        <v>1275</v>
      </c>
      <c r="I34" s="45">
        <v>1200</v>
      </c>
      <c r="J34" s="45">
        <v>1180</v>
      </c>
    </row>
    <row r="35" spans="1:10" x14ac:dyDescent="0.2">
      <c r="A35" t="s">
        <v>715</v>
      </c>
      <c r="B35" t="s">
        <v>10</v>
      </c>
      <c r="D35" s="10">
        <v>5000</v>
      </c>
      <c r="E35" s="10">
        <v>0</v>
      </c>
      <c r="F35" s="10">
        <v>0</v>
      </c>
      <c r="G35" s="10">
        <v>0</v>
      </c>
      <c r="H35" s="45"/>
      <c r="I35" s="45">
        <v>2343</v>
      </c>
      <c r="J35" s="45">
        <v>425</v>
      </c>
    </row>
    <row r="36" spans="1:10" x14ac:dyDescent="0.2">
      <c r="A36" t="s">
        <v>322</v>
      </c>
      <c r="B36" t="s">
        <v>105</v>
      </c>
      <c r="D36" s="10">
        <v>1300</v>
      </c>
      <c r="E36" s="10">
        <v>1475.25</v>
      </c>
      <c r="F36" s="10">
        <v>1300</v>
      </c>
      <c r="G36" s="10">
        <v>1617.97</v>
      </c>
      <c r="H36" s="45">
        <v>1638.98</v>
      </c>
      <c r="I36" s="45">
        <v>5015</v>
      </c>
      <c r="J36" s="45">
        <f>122+1468</f>
        <v>1590</v>
      </c>
    </row>
    <row r="37" spans="1:10" x14ac:dyDescent="0.2">
      <c r="A37" t="s">
        <v>5</v>
      </c>
      <c r="D37" s="10"/>
      <c r="E37" s="10"/>
      <c r="F37" s="10"/>
      <c r="G37" s="10"/>
      <c r="H37" s="45"/>
      <c r="I37" s="45"/>
      <c r="J37" s="45"/>
    </row>
    <row r="38" spans="1:10" x14ac:dyDescent="0.2">
      <c r="A38" t="s">
        <v>323</v>
      </c>
      <c r="B38" t="s">
        <v>100</v>
      </c>
      <c r="D38" s="10">
        <v>1300</v>
      </c>
      <c r="E38" s="10">
        <v>1067.51</v>
      </c>
      <c r="F38" s="10">
        <v>1300</v>
      </c>
      <c r="G38" s="10">
        <v>1307.1400000000001</v>
      </c>
      <c r="H38" s="45">
        <v>1379.4</v>
      </c>
      <c r="I38" s="45">
        <v>1252</v>
      </c>
      <c r="J38" s="45">
        <v>1108</v>
      </c>
    </row>
    <row r="39" spans="1:10" x14ac:dyDescent="0.2">
      <c r="A39" s="29" t="s">
        <v>974</v>
      </c>
      <c r="B39" s="29" t="s">
        <v>163</v>
      </c>
      <c r="D39" s="10">
        <v>0</v>
      </c>
      <c r="E39" s="10">
        <v>0</v>
      </c>
      <c r="F39" s="10">
        <v>0</v>
      </c>
      <c r="G39" s="10">
        <v>195.1</v>
      </c>
      <c r="H39" s="45">
        <v>0</v>
      </c>
      <c r="I39" s="45">
        <v>0</v>
      </c>
      <c r="J39" s="45">
        <v>0</v>
      </c>
    </row>
    <row r="40" spans="1:10" x14ac:dyDescent="0.2">
      <c r="A40" t="s">
        <v>153</v>
      </c>
      <c r="D40" s="10"/>
      <c r="E40" s="10"/>
      <c r="F40" s="10"/>
      <c r="G40" s="10"/>
      <c r="H40" s="45"/>
      <c r="I40" s="45"/>
      <c r="J40" s="45"/>
    </row>
    <row r="41" spans="1:10" x14ac:dyDescent="0.2">
      <c r="A41" t="s">
        <v>324</v>
      </c>
      <c r="B41" t="s">
        <v>154</v>
      </c>
      <c r="D41" s="10">
        <v>0</v>
      </c>
      <c r="E41" s="10">
        <v>0</v>
      </c>
      <c r="F41" s="10">
        <v>0</v>
      </c>
      <c r="G41" s="10">
        <v>282.75</v>
      </c>
      <c r="H41" s="45">
        <v>85.2</v>
      </c>
      <c r="I41" s="45">
        <v>0</v>
      </c>
      <c r="J41" s="45">
        <v>0</v>
      </c>
    </row>
    <row r="42" spans="1:10" x14ac:dyDescent="0.2">
      <c r="A42" t="s">
        <v>631</v>
      </c>
      <c r="B42" t="s">
        <v>632</v>
      </c>
      <c r="D42" s="10">
        <v>0</v>
      </c>
      <c r="E42" s="10">
        <v>0</v>
      </c>
      <c r="F42" s="10">
        <v>0</v>
      </c>
      <c r="G42" s="10">
        <v>0</v>
      </c>
      <c r="H42" s="45">
        <v>0</v>
      </c>
      <c r="I42" s="45">
        <v>21</v>
      </c>
      <c r="J42" s="45">
        <v>27</v>
      </c>
    </row>
    <row r="43" spans="1:10" x14ac:dyDescent="0.2">
      <c r="A43" t="s">
        <v>146</v>
      </c>
      <c r="D43" s="10"/>
      <c r="E43" s="10"/>
      <c r="F43" s="10"/>
      <c r="G43" s="10"/>
      <c r="H43" s="45"/>
      <c r="I43" s="45"/>
      <c r="J43" s="45"/>
    </row>
    <row r="44" spans="1:10" x14ac:dyDescent="0.2">
      <c r="A44" t="s">
        <v>325</v>
      </c>
      <c r="B44" t="s">
        <v>96</v>
      </c>
      <c r="D44" s="10">
        <v>0</v>
      </c>
      <c r="E44" s="10">
        <v>0</v>
      </c>
      <c r="F44" s="10">
        <v>0</v>
      </c>
      <c r="G44" s="10">
        <v>572.25</v>
      </c>
      <c r="H44" s="45">
        <v>133</v>
      </c>
      <c r="I44" s="45">
        <v>102</v>
      </c>
      <c r="J44" s="45">
        <v>177</v>
      </c>
    </row>
    <row r="45" spans="1:10" x14ac:dyDescent="0.2">
      <c r="A45" t="s">
        <v>326</v>
      </c>
      <c r="B45" t="s">
        <v>149</v>
      </c>
      <c r="D45" s="10">
        <v>0</v>
      </c>
      <c r="E45" s="10">
        <v>0</v>
      </c>
      <c r="F45" s="10">
        <v>0</v>
      </c>
      <c r="G45" s="10">
        <v>1424</v>
      </c>
      <c r="H45" s="45">
        <v>1420</v>
      </c>
      <c r="I45" s="45">
        <v>1002</v>
      </c>
      <c r="J45" s="45">
        <v>1376</v>
      </c>
    </row>
    <row r="46" spans="1:10" x14ac:dyDescent="0.2">
      <c r="A46" t="s">
        <v>327</v>
      </c>
      <c r="B46" t="s">
        <v>150</v>
      </c>
      <c r="D46" s="10">
        <v>5000</v>
      </c>
      <c r="E46" s="10">
        <v>4632</v>
      </c>
      <c r="F46" s="10">
        <v>4400</v>
      </c>
      <c r="G46" s="10">
        <v>4365</v>
      </c>
      <c r="H46" s="45">
        <v>3807</v>
      </c>
      <c r="I46" s="45">
        <v>2751</v>
      </c>
      <c r="J46" s="45">
        <v>3822</v>
      </c>
    </row>
    <row r="47" spans="1:10" x14ac:dyDescent="0.2">
      <c r="A47" t="s">
        <v>138</v>
      </c>
      <c r="D47" s="10"/>
      <c r="E47" s="10"/>
      <c r="F47" s="10"/>
      <c r="G47" s="10"/>
      <c r="H47" s="45"/>
      <c r="I47" s="45"/>
      <c r="J47" s="45"/>
    </row>
    <row r="48" spans="1:10" x14ac:dyDescent="0.2">
      <c r="A48" t="s">
        <v>328</v>
      </c>
      <c r="B48" t="s">
        <v>139</v>
      </c>
      <c r="D48" s="10">
        <v>10000</v>
      </c>
      <c r="E48" s="10">
        <v>7759.88</v>
      </c>
      <c r="F48" s="10">
        <v>6250</v>
      </c>
      <c r="G48" s="10">
        <v>6358.16</v>
      </c>
      <c r="H48" s="45">
        <v>6254.48</v>
      </c>
      <c r="I48" s="45">
        <v>5734</v>
      </c>
      <c r="J48" s="45">
        <v>4575</v>
      </c>
    </row>
    <row r="49" spans="1:10" x14ac:dyDescent="0.2">
      <c r="A49" t="s">
        <v>329</v>
      </c>
      <c r="B49" t="s">
        <v>140</v>
      </c>
      <c r="D49" s="10">
        <v>300</v>
      </c>
      <c r="E49" s="10">
        <v>190.72</v>
      </c>
      <c r="F49" s="10">
        <v>168</v>
      </c>
      <c r="G49" s="10">
        <v>195.86</v>
      </c>
      <c r="H49" s="45">
        <v>177.91</v>
      </c>
      <c r="I49" s="45">
        <v>151</v>
      </c>
      <c r="J49" s="45">
        <v>152</v>
      </c>
    </row>
    <row r="50" spans="1:10" x14ac:dyDescent="0.2">
      <c r="A50" t="s">
        <v>330</v>
      </c>
      <c r="B50" t="s">
        <v>141</v>
      </c>
      <c r="D50" s="10">
        <v>0</v>
      </c>
      <c r="E50" s="10">
        <v>0</v>
      </c>
      <c r="F50" s="10">
        <v>1250</v>
      </c>
      <c r="G50" s="10">
        <v>488.83</v>
      </c>
      <c r="H50" s="45">
        <v>687.4</v>
      </c>
      <c r="I50" s="45">
        <v>1032</v>
      </c>
      <c r="J50" s="45">
        <v>1135</v>
      </c>
    </row>
    <row r="51" spans="1:10" x14ac:dyDescent="0.2">
      <c r="A51" t="s">
        <v>331</v>
      </c>
      <c r="B51" t="s">
        <v>142</v>
      </c>
      <c r="D51" s="10">
        <v>1200</v>
      </c>
      <c r="E51" s="10">
        <v>804.5</v>
      </c>
      <c r="F51" s="10">
        <v>1200</v>
      </c>
      <c r="G51" s="10">
        <v>1072.2</v>
      </c>
      <c r="H51" s="45">
        <v>626.23</v>
      </c>
      <c r="I51" s="45">
        <v>1392</v>
      </c>
      <c r="J51" s="45">
        <v>1876</v>
      </c>
    </row>
    <row r="52" spans="1:10" x14ac:dyDescent="0.2">
      <c r="A52" t="s">
        <v>332</v>
      </c>
      <c r="B52" t="s">
        <v>143</v>
      </c>
      <c r="D52" s="10">
        <v>300</v>
      </c>
      <c r="E52" s="10">
        <v>222.55</v>
      </c>
      <c r="F52" s="10">
        <v>300</v>
      </c>
      <c r="G52" s="10">
        <v>239.2</v>
      </c>
      <c r="H52" s="45">
        <v>274.37</v>
      </c>
      <c r="I52" s="45">
        <v>254</v>
      </c>
      <c r="J52" s="45">
        <v>254</v>
      </c>
    </row>
    <row r="53" spans="1:10" x14ac:dyDescent="0.2">
      <c r="A53" t="s">
        <v>585</v>
      </c>
      <c r="D53" s="10"/>
      <c r="E53" s="10"/>
      <c r="F53" s="10"/>
      <c r="G53" s="10"/>
      <c r="H53" s="45"/>
      <c r="I53" s="45"/>
      <c r="J53" s="45"/>
    </row>
    <row r="54" spans="1:10" x14ac:dyDescent="0.2">
      <c r="A54" t="s">
        <v>633</v>
      </c>
      <c r="B54" t="s">
        <v>634</v>
      </c>
      <c r="D54" s="10">
        <v>0</v>
      </c>
      <c r="E54" s="10">
        <v>0</v>
      </c>
      <c r="F54" s="10">
        <v>2500</v>
      </c>
      <c r="G54" s="10">
        <v>0</v>
      </c>
      <c r="H54" s="45">
        <v>0</v>
      </c>
      <c r="I54" s="45">
        <v>2394</v>
      </c>
      <c r="J54" s="45">
        <v>0</v>
      </c>
    </row>
    <row r="55" spans="1:10" x14ac:dyDescent="0.2">
      <c r="A55" t="s">
        <v>132</v>
      </c>
      <c r="D55" s="10"/>
      <c r="E55" s="10"/>
      <c r="F55" s="10"/>
      <c r="G55" s="10"/>
      <c r="H55" s="45"/>
      <c r="I55" s="45"/>
      <c r="J55" s="45"/>
    </row>
    <row r="56" spans="1:10" x14ac:dyDescent="0.2">
      <c r="A56" t="s">
        <v>796</v>
      </c>
      <c r="B56" t="s">
        <v>590</v>
      </c>
      <c r="D56" s="10">
        <v>0</v>
      </c>
      <c r="E56" s="10">
        <v>0</v>
      </c>
      <c r="F56" s="10">
        <v>0</v>
      </c>
      <c r="G56" s="10">
        <v>0</v>
      </c>
      <c r="H56" s="45">
        <v>0</v>
      </c>
      <c r="I56" s="45">
        <f>408+350</f>
        <v>758</v>
      </c>
      <c r="J56" s="45">
        <v>0</v>
      </c>
    </row>
    <row r="57" spans="1:10" x14ac:dyDescent="0.2">
      <c r="A57" t="s">
        <v>333</v>
      </c>
      <c r="B57" t="s">
        <v>135</v>
      </c>
      <c r="D57" s="10">
        <v>40000</v>
      </c>
      <c r="E57" s="10">
        <v>45213.03</v>
      </c>
      <c r="F57" s="10">
        <v>40000</v>
      </c>
      <c r="G57" s="10">
        <v>28807</v>
      </c>
      <c r="H57" s="45">
        <v>62573.45</v>
      </c>
      <c r="I57" s="45">
        <v>24344</v>
      </c>
      <c r="J57" s="45">
        <v>0</v>
      </c>
    </row>
    <row r="58" spans="1:10" x14ac:dyDescent="0.2">
      <c r="A58" t="s">
        <v>334</v>
      </c>
      <c r="B58" t="s">
        <v>136</v>
      </c>
      <c r="D58" s="10">
        <v>2000</v>
      </c>
      <c r="E58" s="10">
        <v>0</v>
      </c>
      <c r="F58" s="10">
        <v>2000</v>
      </c>
      <c r="G58" s="10">
        <v>1603.13</v>
      </c>
      <c r="H58" s="45">
        <v>1395</v>
      </c>
      <c r="I58" s="45">
        <v>2594</v>
      </c>
      <c r="J58" s="45">
        <v>2992</v>
      </c>
    </row>
    <row r="59" spans="1:10" x14ac:dyDescent="0.2">
      <c r="A59" t="s">
        <v>125</v>
      </c>
      <c r="D59" s="10"/>
      <c r="E59" s="10"/>
      <c r="F59" s="10"/>
      <c r="G59" s="10"/>
      <c r="H59" s="45"/>
      <c r="I59" s="45"/>
      <c r="J59" s="45"/>
    </row>
    <row r="60" spans="1:10" x14ac:dyDescent="0.2">
      <c r="A60" t="s">
        <v>335</v>
      </c>
      <c r="B60" t="s">
        <v>126</v>
      </c>
      <c r="D60" s="10">
        <v>0</v>
      </c>
      <c r="E60" s="10">
        <v>0</v>
      </c>
      <c r="F60" s="10">
        <v>0</v>
      </c>
      <c r="G60" s="10">
        <v>27856</v>
      </c>
      <c r="H60" s="10">
        <v>0</v>
      </c>
      <c r="I60" s="45">
        <v>35000</v>
      </c>
      <c r="J60" s="45">
        <v>0</v>
      </c>
    </row>
    <row r="61" spans="1:10" x14ac:dyDescent="0.2">
      <c r="A61" t="s">
        <v>120</v>
      </c>
      <c r="D61" s="10"/>
      <c r="E61" s="10"/>
      <c r="F61" s="10"/>
      <c r="G61" s="10"/>
      <c r="H61" s="45"/>
      <c r="I61" s="45"/>
      <c r="J61" s="45"/>
    </row>
    <row r="62" spans="1:10" x14ac:dyDescent="0.2">
      <c r="A62" t="s">
        <v>336</v>
      </c>
      <c r="B62" t="s">
        <v>104</v>
      </c>
      <c r="D62" s="10">
        <v>0</v>
      </c>
      <c r="E62" s="10">
        <v>112</v>
      </c>
      <c r="F62" s="10">
        <v>0</v>
      </c>
      <c r="G62" s="10">
        <v>0</v>
      </c>
      <c r="H62" s="45">
        <v>234</v>
      </c>
      <c r="I62" s="45">
        <v>0</v>
      </c>
      <c r="J62" s="45">
        <v>87</v>
      </c>
    </row>
    <row r="63" spans="1:10" x14ac:dyDescent="0.2">
      <c r="A63" s="13" t="s">
        <v>647</v>
      </c>
      <c r="B63" s="13" t="s">
        <v>648</v>
      </c>
      <c r="D63" s="10">
        <v>0</v>
      </c>
      <c r="E63" s="10">
        <v>0</v>
      </c>
      <c r="F63" s="10">
        <v>0</v>
      </c>
      <c r="G63" s="10">
        <v>0</v>
      </c>
      <c r="H63" s="45">
        <v>0</v>
      </c>
      <c r="I63" s="45">
        <v>40</v>
      </c>
      <c r="J63" s="45">
        <v>27</v>
      </c>
    </row>
    <row r="64" spans="1:10" x14ac:dyDescent="0.2">
      <c r="A64" t="s">
        <v>337</v>
      </c>
      <c r="B64" t="s">
        <v>121</v>
      </c>
      <c r="D64" s="10">
        <v>0</v>
      </c>
      <c r="E64" s="10">
        <v>0</v>
      </c>
      <c r="F64" s="10">
        <v>0</v>
      </c>
      <c r="G64" s="10">
        <v>25.24</v>
      </c>
      <c r="H64" s="45">
        <v>0</v>
      </c>
      <c r="I64" s="45">
        <v>47</v>
      </c>
      <c r="J64" s="45">
        <v>560</v>
      </c>
    </row>
    <row r="65" spans="1:10" x14ac:dyDescent="0.2">
      <c r="A65" t="s">
        <v>338</v>
      </c>
      <c r="B65" t="s">
        <v>122</v>
      </c>
      <c r="D65" s="10">
        <v>0</v>
      </c>
      <c r="E65" s="10">
        <v>0</v>
      </c>
      <c r="F65" s="10">
        <v>0</v>
      </c>
      <c r="G65" s="10">
        <v>0</v>
      </c>
      <c r="H65" s="45">
        <v>0</v>
      </c>
      <c r="I65" s="45">
        <v>86</v>
      </c>
      <c r="J65" s="45">
        <v>0</v>
      </c>
    </row>
    <row r="66" spans="1:10" x14ac:dyDescent="0.2">
      <c r="D66" s="10"/>
      <c r="E66" s="10"/>
      <c r="F66" s="10"/>
      <c r="G66" s="10"/>
      <c r="H66" s="45"/>
      <c r="I66" s="45"/>
      <c r="J66" s="45"/>
    </row>
    <row r="67" spans="1:10" x14ac:dyDescent="0.2">
      <c r="A67" s="36"/>
      <c r="B67" s="26" t="s">
        <v>65</v>
      </c>
      <c r="D67" s="10">
        <f>SUM(D4:D65)</f>
        <v>193123.09080000001</v>
      </c>
      <c r="E67" s="10">
        <f>SUM(E4:E65)</f>
        <v>151804.95000000001</v>
      </c>
      <c r="F67" s="10">
        <f>SUM(F4:F65)</f>
        <v>179566.272</v>
      </c>
      <c r="G67" s="10">
        <f>SUM(G4:G65)</f>
        <v>172846.81</v>
      </c>
      <c r="H67" s="45">
        <f t="shared" ref="H67:J67" si="0">SUM(H4:H66)</f>
        <v>183474.59999999995</v>
      </c>
      <c r="I67" s="45">
        <f t="shared" si="0"/>
        <v>175323.52900000001</v>
      </c>
      <c r="J67" s="45">
        <f t="shared" si="0"/>
        <v>111334.864</v>
      </c>
    </row>
    <row r="68" spans="1:10" x14ac:dyDescent="0.2">
      <c r="A68" s="43"/>
      <c r="F68" s="19"/>
      <c r="G68" s="19"/>
      <c r="J68" s="36"/>
    </row>
    <row r="69" spans="1:10" x14ac:dyDescent="0.2">
      <c r="A69" s="36"/>
      <c r="B69" s="63" t="s">
        <v>980</v>
      </c>
      <c r="D69" s="10">
        <v>0</v>
      </c>
      <c r="E69" s="10">
        <v>48891.05</v>
      </c>
      <c r="F69" s="10">
        <v>0</v>
      </c>
      <c r="G69" s="10">
        <v>48693.71</v>
      </c>
      <c r="H69" s="10">
        <v>0</v>
      </c>
      <c r="I69" s="10">
        <v>0</v>
      </c>
      <c r="J69" s="10">
        <v>0</v>
      </c>
    </row>
    <row r="70" spans="1:10" x14ac:dyDescent="0.2">
      <c r="A70" s="36"/>
      <c r="B70" s="63"/>
      <c r="F70" s="10"/>
      <c r="G70" s="10"/>
      <c r="H70" s="10"/>
      <c r="I70" s="10"/>
      <c r="J70" s="10"/>
    </row>
    <row r="71" spans="1:10" x14ac:dyDescent="0.2">
      <c r="A71" s="29" t="s">
        <v>975</v>
      </c>
    </row>
  </sheetData>
  <phoneticPr fontId="2" type="noConversion"/>
  <pageMargins left="0.25" right="0.25" top="0.75" bottom="0.75" header="0.3" footer="0.3"/>
  <pageSetup orientation="landscape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0"/>
  <sheetViews>
    <sheetView workbookViewId="0">
      <selection activeCell="D40" sqref="D40"/>
    </sheetView>
  </sheetViews>
  <sheetFormatPr defaultRowHeight="12.75" x14ac:dyDescent="0.2"/>
  <cols>
    <col min="1" max="1" width="18.42578125" customWidth="1"/>
    <col min="2" max="2" width="27.42578125" customWidth="1"/>
    <col min="3" max="3" width="5.7109375" customWidth="1"/>
    <col min="4" max="7" width="11.7109375" customWidth="1"/>
    <col min="8" max="10" width="10.7109375" customWidth="1"/>
  </cols>
  <sheetData>
    <row r="1" spans="1:10" ht="15.75" x14ac:dyDescent="0.25">
      <c r="B1" s="14" t="s">
        <v>576</v>
      </c>
      <c r="D1" s="1">
        <v>2015</v>
      </c>
      <c r="E1" s="51">
        <v>2014</v>
      </c>
      <c r="F1" s="51">
        <v>2014</v>
      </c>
      <c r="G1" s="51">
        <v>2013</v>
      </c>
      <c r="H1" s="51">
        <v>2012</v>
      </c>
      <c r="I1" s="51">
        <v>2011</v>
      </c>
      <c r="J1" s="17">
        <v>2010</v>
      </c>
    </row>
    <row r="2" spans="1:10" x14ac:dyDescent="0.2">
      <c r="A2" t="s">
        <v>89</v>
      </c>
      <c r="D2" s="1" t="s">
        <v>596</v>
      </c>
      <c r="E2" s="51" t="s">
        <v>1076</v>
      </c>
      <c r="F2" s="51" t="s">
        <v>596</v>
      </c>
      <c r="G2" s="51" t="s">
        <v>597</v>
      </c>
      <c r="H2" s="51" t="s">
        <v>597</v>
      </c>
      <c r="I2" s="51" t="s">
        <v>597</v>
      </c>
      <c r="J2" s="51" t="s">
        <v>597</v>
      </c>
    </row>
    <row r="3" spans="1:10" x14ac:dyDescent="0.2">
      <c r="A3" t="s">
        <v>223</v>
      </c>
      <c r="E3" s="10"/>
    </row>
    <row r="4" spans="1:10" x14ac:dyDescent="0.2">
      <c r="A4" t="s">
        <v>617</v>
      </c>
      <c r="B4" t="s">
        <v>618</v>
      </c>
      <c r="D4" s="10">
        <v>0</v>
      </c>
      <c r="E4" s="10">
        <v>0</v>
      </c>
      <c r="F4" s="10">
        <v>0</v>
      </c>
      <c r="G4" s="10"/>
      <c r="H4" s="10">
        <v>0</v>
      </c>
      <c r="I4" s="10">
        <v>0</v>
      </c>
      <c r="J4" s="10">
        <v>0</v>
      </c>
    </row>
    <row r="5" spans="1:10" x14ac:dyDescent="0.2">
      <c r="A5" t="s">
        <v>219</v>
      </c>
      <c r="D5" s="10"/>
      <c r="E5" s="10"/>
      <c r="F5" s="10"/>
      <c r="G5" s="10"/>
      <c r="H5" s="10"/>
      <c r="I5" s="10"/>
      <c r="J5" s="10"/>
    </row>
    <row r="6" spans="1:10" x14ac:dyDescent="0.2">
      <c r="A6" t="s">
        <v>339</v>
      </c>
      <c r="B6" t="s">
        <v>92</v>
      </c>
      <c r="D6" s="10">
        <v>0</v>
      </c>
      <c r="E6" s="10">
        <v>0</v>
      </c>
      <c r="F6" s="10">
        <v>0</v>
      </c>
      <c r="G6" s="10"/>
      <c r="H6" s="10">
        <v>0</v>
      </c>
      <c r="I6" s="10">
        <v>0</v>
      </c>
      <c r="J6" s="10">
        <v>0</v>
      </c>
    </row>
    <row r="7" spans="1:10" x14ac:dyDescent="0.2">
      <c r="A7" t="s">
        <v>340</v>
      </c>
      <c r="B7" t="s">
        <v>94</v>
      </c>
      <c r="D7" s="10">
        <v>0</v>
      </c>
      <c r="E7" s="10">
        <v>0</v>
      </c>
      <c r="F7" s="10">
        <v>0</v>
      </c>
      <c r="G7" s="10"/>
      <c r="H7" s="10">
        <v>0</v>
      </c>
      <c r="I7" s="10">
        <v>0</v>
      </c>
      <c r="J7" s="10">
        <v>0</v>
      </c>
    </row>
    <row r="8" spans="1:10" x14ac:dyDescent="0.2">
      <c r="A8" t="s">
        <v>50</v>
      </c>
      <c r="D8" s="10"/>
      <c r="E8" s="10"/>
      <c r="F8" s="10"/>
      <c r="G8" s="10"/>
      <c r="H8" s="10"/>
      <c r="I8" s="10"/>
      <c r="J8" s="10"/>
    </row>
    <row r="9" spans="1:10" x14ac:dyDescent="0.2">
      <c r="A9" t="s">
        <v>341</v>
      </c>
      <c r="B9" t="s">
        <v>213</v>
      </c>
      <c r="D9" s="10">
        <v>0</v>
      </c>
      <c r="E9" s="10">
        <v>0</v>
      </c>
      <c r="F9" s="10">
        <v>0</v>
      </c>
      <c r="G9" s="10">
        <v>207</v>
      </c>
      <c r="H9" s="10">
        <v>217</v>
      </c>
      <c r="I9" s="10">
        <v>817</v>
      </c>
      <c r="J9" s="10">
        <v>0</v>
      </c>
    </row>
    <row r="10" spans="1:10" x14ac:dyDescent="0.2">
      <c r="A10" t="s">
        <v>180</v>
      </c>
      <c r="D10" s="10"/>
      <c r="E10" s="10"/>
      <c r="F10" s="10"/>
      <c r="G10" s="10"/>
      <c r="H10" s="10"/>
      <c r="I10" s="10"/>
      <c r="J10" s="10"/>
    </row>
    <row r="11" spans="1:10" x14ac:dyDescent="0.2">
      <c r="A11" t="s">
        <v>619</v>
      </c>
      <c r="B11" t="s">
        <v>182</v>
      </c>
      <c r="D11" s="10">
        <v>0</v>
      </c>
      <c r="E11" s="10">
        <v>0</v>
      </c>
      <c r="F11" s="10">
        <v>0</v>
      </c>
      <c r="G11" s="10">
        <v>1057.6300000000001</v>
      </c>
      <c r="H11" s="10">
        <v>1390.47</v>
      </c>
      <c r="I11" s="10">
        <v>1017</v>
      </c>
      <c r="J11" s="10">
        <v>879</v>
      </c>
    </row>
    <row r="12" spans="1:10" x14ac:dyDescent="0.2">
      <c r="A12" t="s">
        <v>342</v>
      </c>
      <c r="B12" t="s">
        <v>183</v>
      </c>
      <c r="D12" s="10">
        <v>0</v>
      </c>
      <c r="E12" s="10">
        <v>1221.6400000000001</v>
      </c>
      <c r="F12" s="10">
        <v>0</v>
      </c>
      <c r="G12" s="10">
        <v>1126.8</v>
      </c>
      <c r="H12" s="10">
        <v>959.69</v>
      </c>
      <c r="I12" s="10">
        <v>485</v>
      </c>
      <c r="J12" s="10">
        <v>82</v>
      </c>
    </row>
    <row r="13" spans="1:10" x14ac:dyDescent="0.2">
      <c r="A13" t="s">
        <v>343</v>
      </c>
      <c r="B13" t="s">
        <v>205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</row>
    <row r="14" spans="1:10" x14ac:dyDescent="0.2">
      <c r="A14" t="s">
        <v>344</v>
      </c>
      <c r="B14" t="s">
        <v>34</v>
      </c>
      <c r="D14" s="10">
        <v>0</v>
      </c>
      <c r="E14" s="10">
        <v>30.14</v>
      </c>
      <c r="F14" s="10">
        <v>0</v>
      </c>
      <c r="G14" s="10">
        <v>126.06</v>
      </c>
      <c r="H14" s="10">
        <v>0</v>
      </c>
      <c r="I14" s="10">
        <v>53</v>
      </c>
      <c r="J14" s="10">
        <v>704</v>
      </c>
    </row>
    <row r="15" spans="1:10" x14ac:dyDescent="0.2">
      <c r="A15" t="s">
        <v>345</v>
      </c>
      <c r="B15" t="s">
        <v>35</v>
      </c>
      <c r="D15" s="10">
        <v>0</v>
      </c>
      <c r="E15" s="10">
        <v>418</v>
      </c>
      <c r="F15" s="10">
        <v>0</v>
      </c>
      <c r="G15" s="10">
        <v>16.23</v>
      </c>
      <c r="H15" s="10">
        <v>888.97</v>
      </c>
      <c r="I15" s="10">
        <f>301+46</f>
        <v>347</v>
      </c>
      <c r="J15" s="10">
        <v>727</v>
      </c>
    </row>
    <row r="16" spans="1:10" x14ac:dyDescent="0.2">
      <c r="A16" t="s">
        <v>23</v>
      </c>
      <c r="D16" s="10"/>
      <c r="E16" s="10"/>
      <c r="F16" s="10"/>
      <c r="G16" s="10"/>
      <c r="H16" s="10"/>
      <c r="I16" s="10"/>
      <c r="J16" s="10"/>
    </row>
    <row r="17" spans="1:11" x14ac:dyDescent="0.2">
      <c r="A17" t="s">
        <v>346</v>
      </c>
      <c r="B17" t="s">
        <v>171</v>
      </c>
      <c r="D17" s="10">
        <v>0</v>
      </c>
      <c r="E17" s="10">
        <v>1822.37</v>
      </c>
      <c r="F17" s="10">
        <v>0</v>
      </c>
      <c r="G17" s="10">
        <v>1313.35</v>
      </c>
      <c r="H17" s="10">
        <v>1362.04</v>
      </c>
      <c r="I17" s="10">
        <v>1414</v>
      </c>
      <c r="J17" s="10">
        <v>897</v>
      </c>
    </row>
    <row r="18" spans="1:11" x14ac:dyDescent="0.2">
      <c r="A18" t="s">
        <v>620</v>
      </c>
      <c r="B18" t="s">
        <v>174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1218</v>
      </c>
      <c r="J18" s="10">
        <v>571</v>
      </c>
    </row>
    <row r="19" spans="1:11" x14ac:dyDescent="0.2">
      <c r="A19" t="s">
        <v>347</v>
      </c>
      <c r="B19" t="s">
        <v>175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</row>
    <row r="20" spans="1:11" x14ac:dyDescent="0.2">
      <c r="A20" t="s">
        <v>348</v>
      </c>
      <c r="B20" t="s">
        <v>952</v>
      </c>
      <c r="D20" s="10">
        <v>10000</v>
      </c>
      <c r="E20" s="10">
        <v>2200.14</v>
      </c>
      <c r="F20" s="10">
        <v>0</v>
      </c>
      <c r="G20" s="10">
        <v>538.78</v>
      </c>
      <c r="H20" s="10">
        <v>1938.61</v>
      </c>
      <c r="I20" s="10">
        <v>542</v>
      </c>
      <c r="J20" s="10">
        <v>184</v>
      </c>
      <c r="K20" s="29"/>
    </row>
    <row r="21" spans="1:11" x14ac:dyDescent="0.2">
      <c r="A21" t="s">
        <v>349</v>
      </c>
      <c r="B21" t="s">
        <v>177</v>
      </c>
      <c r="D21" s="10">
        <v>0</v>
      </c>
      <c r="E21" s="10">
        <v>0</v>
      </c>
      <c r="F21" s="10">
        <v>0</v>
      </c>
      <c r="G21" s="10">
        <v>0</v>
      </c>
      <c r="H21" s="10">
        <v>597.19000000000005</v>
      </c>
      <c r="I21" s="10">
        <v>2296</v>
      </c>
      <c r="J21" s="10">
        <v>646</v>
      </c>
    </row>
    <row r="22" spans="1:11" x14ac:dyDescent="0.2">
      <c r="A22" t="s">
        <v>350</v>
      </c>
      <c r="B22" t="s">
        <v>179</v>
      </c>
      <c r="D22" s="10">
        <v>0</v>
      </c>
      <c r="E22" s="10">
        <v>0</v>
      </c>
      <c r="F22" s="10">
        <v>0</v>
      </c>
      <c r="G22" s="10">
        <v>27.66</v>
      </c>
      <c r="H22" s="10">
        <v>0</v>
      </c>
      <c r="I22" s="10">
        <v>768</v>
      </c>
      <c r="J22" s="10">
        <v>473</v>
      </c>
    </row>
    <row r="23" spans="1:11" x14ac:dyDescent="0.2">
      <c r="A23" t="s">
        <v>6</v>
      </c>
      <c r="D23" s="10"/>
      <c r="E23" s="10"/>
      <c r="F23" s="10"/>
      <c r="G23" s="10"/>
      <c r="H23" s="10"/>
      <c r="I23" s="10"/>
      <c r="J23" s="10"/>
    </row>
    <row r="24" spans="1:11" x14ac:dyDescent="0.2">
      <c r="A24" s="29" t="s">
        <v>1053</v>
      </c>
      <c r="B24" s="29" t="s">
        <v>10</v>
      </c>
      <c r="D24" s="10">
        <v>0</v>
      </c>
      <c r="E24" s="10">
        <v>1500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</row>
    <row r="25" spans="1:11" x14ac:dyDescent="0.2">
      <c r="A25" t="s">
        <v>351</v>
      </c>
      <c r="B25" t="s">
        <v>1020</v>
      </c>
      <c r="D25" s="10">
        <v>5000</v>
      </c>
      <c r="E25" s="10">
        <v>5095.88</v>
      </c>
      <c r="F25" s="10">
        <v>5000</v>
      </c>
      <c r="G25" s="10">
        <v>4741.6400000000003</v>
      </c>
      <c r="H25" s="41">
        <v>4354.4399999999996</v>
      </c>
      <c r="I25" s="41">
        <v>5036</v>
      </c>
      <c r="J25" s="41">
        <v>4307</v>
      </c>
    </row>
    <row r="26" spans="1:11" x14ac:dyDescent="0.2">
      <c r="A26" t="s">
        <v>146</v>
      </c>
      <c r="D26" s="10"/>
      <c r="E26" s="10"/>
      <c r="F26" s="10"/>
      <c r="G26" s="10"/>
      <c r="H26" s="42"/>
      <c r="I26" s="42"/>
      <c r="J26" s="42"/>
    </row>
    <row r="27" spans="1:11" x14ac:dyDescent="0.2">
      <c r="A27" t="s">
        <v>352</v>
      </c>
      <c r="B27" t="s">
        <v>96</v>
      </c>
      <c r="D27" s="10">
        <v>0</v>
      </c>
      <c r="E27" s="10">
        <v>0</v>
      </c>
      <c r="F27" s="10">
        <v>0</v>
      </c>
      <c r="G27" s="10">
        <v>115.65</v>
      </c>
      <c r="H27" s="41">
        <v>125.55</v>
      </c>
      <c r="I27" s="41">
        <v>93</v>
      </c>
      <c r="J27" s="41">
        <v>120</v>
      </c>
    </row>
    <row r="28" spans="1:11" x14ac:dyDescent="0.2">
      <c r="A28" t="s">
        <v>353</v>
      </c>
      <c r="B28" t="s">
        <v>149</v>
      </c>
      <c r="D28" s="10">
        <v>0</v>
      </c>
      <c r="E28" s="10">
        <v>0</v>
      </c>
      <c r="F28" s="10">
        <v>0</v>
      </c>
      <c r="G28" s="10">
        <v>7284</v>
      </c>
      <c r="H28" s="41">
        <v>7286</v>
      </c>
      <c r="I28" s="41">
        <v>5172</v>
      </c>
      <c r="J28" s="41">
        <v>7019</v>
      </c>
    </row>
    <row r="29" spans="1:11" x14ac:dyDescent="0.2">
      <c r="A29" t="s">
        <v>354</v>
      </c>
      <c r="B29" t="s">
        <v>150</v>
      </c>
      <c r="D29" s="10">
        <v>0</v>
      </c>
      <c r="E29" s="10">
        <v>0</v>
      </c>
      <c r="F29" s="10">
        <v>0</v>
      </c>
      <c r="G29" s="10">
        <v>218</v>
      </c>
      <c r="H29" s="41">
        <v>120</v>
      </c>
      <c r="I29" s="41">
        <v>92</v>
      </c>
      <c r="J29" s="41">
        <v>124</v>
      </c>
    </row>
    <row r="30" spans="1:11" x14ac:dyDescent="0.2">
      <c r="A30" t="s">
        <v>138</v>
      </c>
      <c r="D30" s="10"/>
      <c r="E30" s="10"/>
      <c r="F30" s="10"/>
      <c r="G30" s="10"/>
      <c r="H30" s="42"/>
      <c r="I30" s="42"/>
      <c r="J30" s="42"/>
    </row>
    <row r="31" spans="1:11" x14ac:dyDescent="0.2">
      <c r="A31" t="s">
        <v>355</v>
      </c>
      <c r="B31" t="s">
        <v>139</v>
      </c>
      <c r="D31" s="10">
        <v>4900</v>
      </c>
      <c r="E31" s="10">
        <v>3387.63</v>
      </c>
      <c r="F31" s="10">
        <v>4900</v>
      </c>
      <c r="G31" s="10">
        <v>4767.41</v>
      </c>
      <c r="H31" s="41">
        <v>4708.4799999999996</v>
      </c>
      <c r="I31" s="41">
        <v>4358</v>
      </c>
      <c r="J31" s="41">
        <v>3041</v>
      </c>
    </row>
    <row r="32" spans="1:11" x14ac:dyDescent="0.2">
      <c r="A32" t="s">
        <v>621</v>
      </c>
      <c r="B32" t="s">
        <v>140</v>
      </c>
      <c r="D32" s="10">
        <v>300</v>
      </c>
      <c r="E32" s="10">
        <v>169.04</v>
      </c>
      <c r="F32" s="10">
        <v>300</v>
      </c>
      <c r="G32" s="10">
        <v>213.68</v>
      </c>
      <c r="H32" s="42">
        <v>280.01</v>
      </c>
      <c r="I32" s="42">
        <v>196</v>
      </c>
      <c r="J32" s="42">
        <v>164</v>
      </c>
    </row>
    <row r="33" spans="1:10" x14ac:dyDescent="0.2">
      <c r="A33" t="s">
        <v>356</v>
      </c>
      <c r="B33" t="s">
        <v>141</v>
      </c>
      <c r="D33" s="10">
        <v>1000</v>
      </c>
      <c r="E33" s="10">
        <v>763.76</v>
      </c>
      <c r="F33" s="10">
        <v>1000</v>
      </c>
      <c r="G33" s="10">
        <v>817.73</v>
      </c>
      <c r="H33" s="42">
        <v>761.22</v>
      </c>
      <c r="I33" s="42">
        <v>760</v>
      </c>
      <c r="J33" s="42">
        <v>791</v>
      </c>
    </row>
    <row r="34" spans="1:10" x14ac:dyDescent="0.2">
      <c r="A34" t="s">
        <v>357</v>
      </c>
      <c r="B34" t="s">
        <v>142</v>
      </c>
      <c r="D34" s="10">
        <v>2000</v>
      </c>
      <c r="E34" s="10">
        <v>1863.75</v>
      </c>
      <c r="F34" s="10">
        <v>2000</v>
      </c>
      <c r="G34" s="10">
        <v>2680.78</v>
      </c>
      <c r="H34" s="42">
        <v>1838.87</v>
      </c>
      <c r="I34" s="42">
        <v>2936</v>
      </c>
      <c r="J34" s="42">
        <v>2145</v>
      </c>
    </row>
    <row r="35" spans="1:10" x14ac:dyDescent="0.2">
      <c r="A35" t="s">
        <v>622</v>
      </c>
      <c r="B35" t="s">
        <v>143</v>
      </c>
      <c r="D35" s="10">
        <v>300</v>
      </c>
      <c r="E35" s="10">
        <v>200.82</v>
      </c>
      <c r="F35" s="10">
        <v>300</v>
      </c>
      <c r="G35" s="10">
        <v>257.08</v>
      </c>
      <c r="H35" s="41">
        <v>325.67</v>
      </c>
      <c r="I35" s="41">
        <v>238</v>
      </c>
      <c r="J35" s="41">
        <v>206</v>
      </c>
    </row>
    <row r="36" spans="1:10" x14ac:dyDescent="0.2">
      <c r="A36" s="13" t="s">
        <v>585</v>
      </c>
      <c r="D36" s="10"/>
      <c r="E36" s="10"/>
      <c r="F36" s="10"/>
      <c r="G36" s="10"/>
      <c r="H36" s="42"/>
      <c r="I36" s="42"/>
      <c r="J36" s="42"/>
    </row>
    <row r="37" spans="1:10" x14ac:dyDescent="0.2">
      <c r="A37" s="13" t="s">
        <v>649</v>
      </c>
      <c r="B37" s="13" t="s">
        <v>650</v>
      </c>
      <c r="D37" s="10">
        <v>0</v>
      </c>
      <c r="E37" s="10">
        <v>0</v>
      </c>
      <c r="F37" s="10">
        <v>0</v>
      </c>
      <c r="G37" s="10">
        <v>0</v>
      </c>
      <c r="H37" s="42">
        <v>0</v>
      </c>
      <c r="I37" s="42">
        <v>0</v>
      </c>
      <c r="J37" s="42">
        <v>1188</v>
      </c>
    </row>
    <row r="38" spans="1:10" x14ac:dyDescent="0.2">
      <c r="A38" t="s">
        <v>132</v>
      </c>
      <c r="D38" s="10"/>
      <c r="E38" s="10"/>
      <c r="F38" s="10"/>
      <c r="G38" s="10"/>
      <c r="H38" s="42"/>
      <c r="I38" s="42"/>
      <c r="J38" s="42"/>
    </row>
    <row r="39" spans="1:10" x14ac:dyDescent="0.2">
      <c r="A39" t="s">
        <v>582</v>
      </c>
      <c r="B39" t="s">
        <v>133</v>
      </c>
      <c r="D39" s="10">
        <v>1000</v>
      </c>
      <c r="E39" s="10">
        <v>0</v>
      </c>
      <c r="F39" s="10">
        <v>2000</v>
      </c>
      <c r="G39" s="10">
        <v>4030.84</v>
      </c>
      <c r="H39" s="41">
        <v>4285.25</v>
      </c>
      <c r="I39" s="41">
        <v>2100</v>
      </c>
      <c r="J39" s="41">
        <v>960</v>
      </c>
    </row>
    <row r="40" spans="1:10" x14ac:dyDescent="0.2">
      <c r="A40" t="s">
        <v>358</v>
      </c>
      <c r="B40" t="s">
        <v>953</v>
      </c>
      <c r="D40" s="10">
        <v>40000</v>
      </c>
      <c r="E40" s="10">
        <v>0</v>
      </c>
      <c r="F40" s="10">
        <v>0</v>
      </c>
      <c r="G40" s="10">
        <v>0</v>
      </c>
      <c r="H40" s="42">
        <v>0</v>
      </c>
      <c r="I40" s="42">
        <v>115</v>
      </c>
      <c r="J40" s="42">
        <v>2216</v>
      </c>
    </row>
    <row r="41" spans="1:10" x14ac:dyDescent="0.2">
      <c r="A41" t="s">
        <v>125</v>
      </c>
      <c r="D41" s="10"/>
      <c r="E41" s="10"/>
      <c r="F41" s="10"/>
      <c r="G41" s="10"/>
      <c r="H41" s="42"/>
      <c r="I41" s="42"/>
      <c r="J41" s="42"/>
    </row>
    <row r="42" spans="1:10" x14ac:dyDescent="0.2">
      <c r="A42" t="s">
        <v>359</v>
      </c>
      <c r="B42" s="13" t="s">
        <v>126</v>
      </c>
      <c r="D42" s="10">
        <v>0</v>
      </c>
      <c r="E42" s="10">
        <v>0</v>
      </c>
      <c r="F42" s="10">
        <v>0</v>
      </c>
      <c r="G42" s="10">
        <v>3068</v>
      </c>
      <c r="H42" s="42">
        <v>0</v>
      </c>
      <c r="I42" s="42">
        <v>0</v>
      </c>
      <c r="J42" s="42">
        <v>0</v>
      </c>
    </row>
    <row r="43" spans="1:10" x14ac:dyDescent="0.2">
      <c r="A43" t="s">
        <v>120</v>
      </c>
      <c r="D43" s="10"/>
      <c r="E43" s="10"/>
      <c r="F43" s="10"/>
      <c r="G43" s="10"/>
      <c r="H43" s="42"/>
      <c r="I43" s="42"/>
      <c r="J43" s="42"/>
    </row>
    <row r="44" spans="1:10" x14ac:dyDescent="0.2">
      <c r="A44" t="s">
        <v>360</v>
      </c>
      <c r="B44" t="s">
        <v>104</v>
      </c>
      <c r="D44" s="10">
        <v>0</v>
      </c>
      <c r="E44" s="10">
        <v>345</v>
      </c>
      <c r="F44" s="10">
        <v>0</v>
      </c>
      <c r="G44" s="10">
        <v>0</v>
      </c>
      <c r="H44" s="42">
        <v>361</v>
      </c>
      <c r="I44" s="42">
        <v>650</v>
      </c>
      <c r="J44" s="42">
        <v>15</v>
      </c>
    </row>
    <row r="45" spans="1:10" x14ac:dyDescent="0.2">
      <c r="A45" t="s">
        <v>361</v>
      </c>
      <c r="B45" t="s">
        <v>103</v>
      </c>
      <c r="D45" s="10">
        <v>0</v>
      </c>
      <c r="E45" s="10">
        <v>0</v>
      </c>
      <c r="F45" s="10">
        <v>0</v>
      </c>
      <c r="G45" s="10">
        <v>0</v>
      </c>
      <c r="H45" s="42">
        <v>0</v>
      </c>
      <c r="I45" s="42">
        <v>0</v>
      </c>
      <c r="J45" s="42">
        <v>8</v>
      </c>
    </row>
    <row r="46" spans="1:10" x14ac:dyDescent="0.2">
      <c r="A46" t="s">
        <v>362</v>
      </c>
      <c r="B46" t="s">
        <v>121</v>
      </c>
      <c r="D46" s="10">
        <v>0</v>
      </c>
      <c r="E46" s="10">
        <v>-875</v>
      </c>
      <c r="F46" s="10">
        <v>0</v>
      </c>
      <c r="G46" s="10">
        <v>0</v>
      </c>
      <c r="H46" s="42">
        <v>0</v>
      </c>
      <c r="I46" s="42">
        <v>0</v>
      </c>
      <c r="J46" s="42">
        <v>55</v>
      </c>
    </row>
    <row r="47" spans="1:10" x14ac:dyDescent="0.2">
      <c r="D47" s="10"/>
      <c r="E47" s="10"/>
      <c r="F47" s="10"/>
      <c r="G47" s="10"/>
      <c r="H47" s="42"/>
      <c r="I47" s="42"/>
      <c r="J47" s="42"/>
    </row>
    <row r="48" spans="1:10" x14ac:dyDescent="0.2">
      <c r="A48" s="36"/>
      <c r="B48" s="26" t="s">
        <v>65</v>
      </c>
      <c r="D48" s="10">
        <f>SUM(D4:D46)</f>
        <v>64500</v>
      </c>
      <c r="E48" s="10">
        <f>SUM(E4:E46)</f>
        <v>18143.169999999998</v>
      </c>
      <c r="F48" s="10">
        <f>SUM(F4:F46)</f>
        <v>15500</v>
      </c>
      <c r="G48" s="10">
        <f>SUM(G4:G46)</f>
        <v>32608.320000000003</v>
      </c>
      <c r="H48" s="41">
        <f>SUM(H4:H47)</f>
        <v>31800.459999999995</v>
      </c>
      <c r="I48" s="41">
        <f>SUM(I4:I47)</f>
        <v>30703</v>
      </c>
      <c r="J48" s="41">
        <f>SUM(J4:J47)</f>
        <v>27522</v>
      </c>
    </row>
    <row r="49" spans="1:7" x14ac:dyDescent="0.2">
      <c r="A49" s="43"/>
      <c r="F49" s="19"/>
      <c r="G49" s="19"/>
    </row>
    <row r="50" spans="1:7" x14ac:dyDescent="0.2">
      <c r="A50" s="36" t="s">
        <v>954</v>
      </c>
    </row>
  </sheetData>
  <phoneticPr fontId="2" type="noConversion"/>
  <pageMargins left="0.25" right="0.25" top="0.75" bottom="0.75" header="0.3" footer="0.3"/>
  <pageSetup orientation="landscape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79"/>
  <sheetViews>
    <sheetView topLeftCell="A16" workbookViewId="0">
      <selection activeCell="E18" sqref="E18"/>
    </sheetView>
  </sheetViews>
  <sheetFormatPr defaultRowHeight="12.75" x14ac:dyDescent="0.2"/>
  <cols>
    <col min="1" max="1" width="18.42578125" customWidth="1"/>
    <col min="2" max="2" width="27.5703125" customWidth="1"/>
    <col min="3" max="3" width="5.7109375" customWidth="1"/>
    <col min="4" max="7" width="11.7109375" customWidth="1"/>
    <col min="8" max="10" width="10.7109375" customWidth="1"/>
  </cols>
  <sheetData>
    <row r="1" spans="1:11" ht="15.75" x14ac:dyDescent="0.25">
      <c r="B1" s="14" t="s">
        <v>698</v>
      </c>
      <c r="D1" s="1">
        <v>2015</v>
      </c>
      <c r="E1" s="51">
        <v>2014</v>
      </c>
      <c r="F1" s="51">
        <v>2014</v>
      </c>
      <c r="G1" s="51">
        <v>2013</v>
      </c>
      <c r="H1" s="51">
        <v>2012</v>
      </c>
      <c r="I1" s="51">
        <v>2011</v>
      </c>
      <c r="J1" s="17">
        <v>2010</v>
      </c>
    </row>
    <row r="2" spans="1:11" x14ac:dyDescent="0.2">
      <c r="A2" t="s">
        <v>89</v>
      </c>
      <c r="D2" s="1" t="s">
        <v>596</v>
      </c>
      <c r="E2" s="51" t="s">
        <v>1005</v>
      </c>
      <c r="F2" s="51" t="s">
        <v>596</v>
      </c>
      <c r="G2" s="51" t="s">
        <v>597</v>
      </c>
      <c r="H2" s="51" t="s">
        <v>597</v>
      </c>
      <c r="I2" s="51" t="s">
        <v>597</v>
      </c>
      <c r="J2" s="51" t="s">
        <v>597</v>
      </c>
    </row>
    <row r="3" spans="1:11" x14ac:dyDescent="0.2">
      <c r="A3" t="s">
        <v>223</v>
      </c>
      <c r="K3" s="10"/>
    </row>
    <row r="4" spans="1:11" x14ac:dyDescent="0.2">
      <c r="A4" t="s">
        <v>363</v>
      </c>
      <c r="B4" t="s">
        <v>53</v>
      </c>
      <c r="D4" s="10">
        <v>60000</v>
      </c>
      <c r="E4" s="10">
        <v>57969.38</v>
      </c>
      <c r="F4" s="10">
        <v>60500</v>
      </c>
      <c r="G4" s="10">
        <v>20832.36</v>
      </c>
      <c r="H4" s="10">
        <v>49000.6</v>
      </c>
      <c r="I4" s="10">
        <v>48343</v>
      </c>
      <c r="J4" s="10">
        <v>42350</v>
      </c>
      <c r="K4" s="10"/>
    </row>
    <row r="5" spans="1:11" x14ac:dyDescent="0.2">
      <c r="A5" t="s">
        <v>818</v>
      </c>
      <c r="B5" t="s">
        <v>819</v>
      </c>
      <c r="D5" s="10">
        <v>0</v>
      </c>
      <c r="E5" s="10">
        <v>0</v>
      </c>
      <c r="F5" s="10">
        <v>0</v>
      </c>
      <c r="G5" s="10">
        <v>0</v>
      </c>
      <c r="H5" s="10">
        <v>172.7</v>
      </c>
      <c r="I5" s="10">
        <v>0</v>
      </c>
      <c r="J5" s="10">
        <v>0</v>
      </c>
      <c r="K5" s="10"/>
    </row>
    <row r="6" spans="1:11" x14ac:dyDescent="0.2">
      <c r="A6" t="s">
        <v>219</v>
      </c>
      <c r="D6" s="10"/>
      <c r="E6" s="10"/>
      <c r="F6" s="10"/>
      <c r="G6" s="10"/>
      <c r="H6" s="10"/>
      <c r="I6" s="10"/>
      <c r="J6" s="10"/>
      <c r="K6" s="10"/>
    </row>
    <row r="7" spans="1:11" x14ac:dyDescent="0.2">
      <c r="A7" t="s">
        <v>364</v>
      </c>
      <c r="B7" t="s">
        <v>92</v>
      </c>
      <c r="D7" s="10">
        <f>0.062*65000</f>
        <v>4030</v>
      </c>
      <c r="E7" s="10">
        <v>3594.05</v>
      </c>
      <c r="F7" s="10">
        <f>F4*0.062</f>
        <v>3751</v>
      </c>
      <c r="G7" s="10">
        <v>1291.5999999999999</v>
      </c>
      <c r="H7" s="10">
        <v>3048.71</v>
      </c>
      <c r="I7" s="10">
        <f>0.062*I4</f>
        <v>2997.2660000000001</v>
      </c>
      <c r="J7" s="10">
        <v>2626</v>
      </c>
      <c r="K7" s="10"/>
    </row>
    <row r="8" spans="1:11" x14ac:dyDescent="0.2">
      <c r="A8" t="s">
        <v>365</v>
      </c>
      <c r="B8" t="s">
        <v>94</v>
      </c>
      <c r="D8" s="10">
        <f>0.0145*65000</f>
        <v>942.5</v>
      </c>
      <c r="E8" s="10">
        <v>840.59</v>
      </c>
      <c r="F8" s="10">
        <f>F4*0.0145</f>
        <v>877.25</v>
      </c>
      <c r="G8" s="10">
        <v>302.08</v>
      </c>
      <c r="H8" s="10">
        <v>713.02</v>
      </c>
      <c r="I8" s="10">
        <f>0.0145*I4</f>
        <v>700.97350000000006</v>
      </c>
      <c r="J8" s="10">
        <v>614</v>
      </c>
      <c r="K8" s="10"/>
    </row>
    <row r="9" spans="1:11" x14ac:dyDescent="0.2">
      <c r="A9" t="s">
        <v>50</v>
      </c>
      <c r="D9" s="10"/>
      <c r="E9" s="10"/>
      <c r="F9" s="10"/>
      <c r="G9" s="10"/>
      <c r="H9" s="42"/>
      <c r="I9" s="42"/>
      <c r="J9" s="42"/>
      <c r="K9" s="10"/>
    </row>
    <row r="10" spans="1:11" x14ac:dyDescent="0.2">
      <c r="A10" t="s">
        <v>366</v>
      </c>
      <c r="B10" t="s">
        <v>213</v>
      </c>
      <c r="D10" s="10">
        <v>2500</v>
      </c>
      <c r="E10" s="10">
        <v>0</v>
      </c>
      <c r="F10" s="10">
        <v>2500</v>
      </c>
      <c r="G10" s="10">
        <v>0</v>
      </c>
      <c r="H10" s="41">
        <v>2160</v>
      </c>
      <c r="I10" s="41">
        <v>4030</v>
      </c>
      <c r="J10" s="41">
        <v>2800</v>
      </c>
      <c r="K10" s="10"/>
    </row>
    <row r="11" spans="1:11" x14ac:dyDescent="0.2">
      <c r="A11" t="s">
        <v>36</v>
      </c>
      <c r="D11" s="10"/>
      <c r="E11" s="10"/>
      <c r="F11" s="10"/>
      <c r="G11" s="10"/>
      <c r="H11" s="42"/>
      <c r="I11" s="42"/>
      <c r="J11" s="42"/>
      <c r="K11" s="10"/>
    </row>
    <row r="12" spans="1:11" x14ac:dyDescent="0.2">
      <c r="A12" t="s">
        <v>367</v>
      </c>
      <c r="B12" t="s">
        <v>38</v>
      </c>
      <c r="D12" s="10">
        <v>0</v>
      </c>
      <c r="E12" s="10">
        <v>0</v>
      </c>
      <c r="F12" s="10">
        <v>0</v>
      </c>
      <c r="G12" s="10">
        <v>0</v>
      </c>
      <c r="H12" s="42">
        <v>201.38</v>
      </c>
      <c r="I12" s="42">
        <v>36</v>
      </c>
      <c r="J12" s="42">
        <v>7</v>
      </c>
      <c r="K12" s="10"/>
    </row>
    <row r="13" spans="1:11" x14ac:dyDescent="0.2">
      <c r="A13" t="s">
        <v>368</v>
      </c>
      <c r="B13" t="s">
        <v>40</v>
      </c>
      <c r="D13" s="10">
        <v>0</v>
      </c>
      <c r="E13" s="10">
        <v>0</v>
      </c>
      <c r="F13" s="10">
        <v>0</v>
      </c>
      <c r="G13" s="10">
        <v>0</v>
      </c>
      <c r="H13" s="42">
        <v>0</v>
      </c>
      <c r="I13" s="42">
        <v>0</v>
      </c>
      <c r="J13" s="42">
        <v>0</v>
      </c>
      <c r="K13" s="10"/>
    </row>
    <row r="14" spans="1:11" x14ac:dyDescent="0.2">
      <c r="A14" t="s">
        <v>369</v>
      </c>
      <c r="B14" t="s">
        <v>42</v>
      </c>
      <c r="D14" s="10">
        <v>100</v>
      </c>
      <c r="E14" s="10">
        <v>0</v>
      </c>
      <c r="F14" s="10">
        <v>0</v>
      </c>
      <c r="G14" s="10">
        <v>0</v>
      </c>
      <c r="H14" s="42">
        <v>243</v>
      </c>
      <c r="I14" s="42">
        <v>218</v>
      </c>
      <c r="J14" s="42">
        <v>0</v>
      </c>
      <c r="K14" s="10"/>
    </row>
    <row r="15" spans="1:11" x14ac:dyDescent="0.2">
      <c r="A15" t="s">
        <v>370</v>
      </c>
      <c r="B15" t="s">
        <v>49</v>
      </c>
      <c r="D15" s="10">
        <v>222</v>
      </c>
      <c r="E15" s="10">
        <v>439.74</v>
      </c>
      <c r="F15" s="10">
        <v>500</v>
      </c>
      <c r="G15" s="10">
        <v>0</v>
      </c>
      <c r="H15" s="42">
        <v>407.04</v>
      </c>
      <c r="I15" s="42">
        <v>169</v>
      </c>
      <c r="J15" s="42">
        <v>211</v>
      </c>
      <c r="K15" s="10"/>
    </row>
    <row r="16" spans="1:11" x14ac:dyDescent="0.2">
      <c r="A16" t="s">
        <v>180</v>
      </c>
      <c r="D16" s="10"/>
      <c r="E16" s="10"/>
      <c r="F16" s="10"/>
      <c r="G16" s="10"/>
      <c r="H16" s="42"/>
      <c r="I16" s="42"/>
      <c r="J16" s="42"/>
      <c r="K16" s="10"/>
    </row>
    <row r="17" spans="1:11" x14ac:dyDescent="0.2">
      <c r="A17" t="s">
        <v>371</v>
      </c>
      <c r="B17" t="s">
        <v>182</v>
      </c>
      <c r="D17" s="10">
        <v>500</v>
      </c>
      <c r="E17" s="10">
        <v>263.23</v>
      </c>
      <c r="F17" s="10">
        <v>500</v>
      </c>
      <c r="G17" s="10">
        <v>0</v>
      </c>
      <c r="H17" s="42">
        <v>367.56</v>
      </c>
      <c r="I17" s="42">
        <v>1339</v>
      </c>
      <c r="J17" s="42">
        <v>1175</v>
      </c>
      <c r="K17" s="10"/>
    </row>
    <row r="18" spans="1:11" x14ac:dyDescent="0.2">
      <c r="A18" t="s">
        <v>372</v>
      </c>
      <c r="B18" t="s">
        <v>34</v>
      </c>
      <c r="D18" s="10">
        <v>8000</v>
      </c>
      <c r="E18" s="10">
        <v>6814.92</v>
      </c>
      <c r="F18" s="10">
        <v>8000</v>
      </c>
      <c r="G18" s="10">
        <v>-1195.43</v>
      </c>
      <c r="H18" s="42">
        <v>7136.52</v>
      </c>
      <c r="I18" s="42">
        <v>6253</v>
      </c>
      <c r="J18" s="42">
        <v>5281</v>
      </c>
      <c r="K18" s="10"/>
    </row>
    <row r="19" spans="1:11" x14ac:dyDescent="0.2">
      <c r="A19" t="s">
        <v>373</v>
      </c>
      <c r="B19" t="s">
        <v>35</v>
      </c>
      <c r="D19" s="10">
        <v>0</v>
      </c>
      <c r="E19" s="10">
        <v>761</v>
      </c>
      <c r="F19" s="10">
        <v>0</v>
      </c>
      <c r="G19" s="10">
        <v>175</v>
      </c>
      <c r="H19" s="42">
        <v>1839.35</v>
      </c>
      <c r="I19" s="42">
        <v>3779</v>
      </c>
      <c r="J19" s="42">
        <v>2076</v>
      </c>
      <c r="K19" s="10"/>
    </row>
    <row r="20" spans="1:11" x14ac:dyDescent="0.2">
      <c r="A20" t="s">
        <v>23</v>
      </c>
      <c r="D20" s="10"/>
      <c r="E20" s="10"/>
      <c r="F20" s="10"/>
      <c r="G20" s="10"/>
      <c r="H20" s="42"/>
      <c r="I20" s="42"/>
      <c r="J20" s="42"/>
      <c r="K20" s="10"/>
    </row>
    <row r="21" spans="1:11" x14ac:dyDescent="0.2">
      <c r="A21" t="s">
        <v>374</v>
      </c>
      <c r="B21" t="s">
        <v>171</v>
      </c>
      <c r="D21" s="10">
        <v>5000</v>
      </c>
      <c r="E21" s="10">
        <v>2509.38</v>
      </c>
      <c r="F21" s="10">
        <v>500</v>
      </c>
      <c r="G21" s="10">
        <v>899.81</v>
      </c>
      <c r="H21" s="42">
        <v>322.79000000000002</v>
      </c>
      <c r="I21" s="42">
        <v>50</v>
      </c>
      <c r="J21" s="42">
        <v>158</v>
      </c>
      <c r="K21" s="10"/>
    </row>
    <row r="22" spans="1:11" x14ac:dyDescent="0.2">
      <c r="A22" t="s">
        <v>375</v>
      </c>
      <c r="B22" t="s">
        <v>174</v>
      </c>
      <c r="D22" s="10">
        <v>5000</v>
      </c>
      <c r="E22" s="10">
        <v>200</v>
      </c>
      <c r="F22" s="10">
        <v>200</v>
      </c>
      <c r="G22" s="10">
        <v>0</v>
      </c>
      <c r="H22" s="42">
        <v>28</v>
      </c>
      <c r="I22" s="42">
        <v>14</v>
      </c>
      <c r="J22" s="42">
        <v>0</v>
      </c>
      <c r="K22" s="10"/>
    </row>
    <row r="23" spans="1:11" x14ac:dyDescent="0.2">
      <c r="A23" s="13" t="s">
        <v>598</v>
      </c>
      <c r="B23" t="s">
        <v>658</v>
      </c>
      <c r="D23" s="10">
        <v>300</v>
      </c>
      <c r="E23" s="10">
        <v>340.58</v>
      </c>
      <c r="F23" s="10">
        <v>100</v>
      </c>
      <c r="G23" s="10">
        <v>142.09</v>
      </c>
      <c r="H23" s="42">
        <v>53.42</v>
      </c>
      <c r="I23" s="42">
        <v>48</v>
      </c>
      <c r="J23" s="42">
        <v>43</v>
      </c>
      <c r="K23" s="10"/>
    </row>
    <row r="24" spans="1:11" x14ac:dyDescent="0.2">
      <c r="A24" t="s">
        <v>376</v>
      </c>
      <c r="B24" t="s">
        <v>177</v>
      </c>
      <c r="D24" s="10">
        <v>300</v>
      </c>
      <c r="E24" s="10">
        <v>199.66</v>
      </c>
      <c r="F24" s="10">
        <v>150</v>
      </c>
      <c r="G24" s="10">
        <v>15</v>
      </c>
      <c r="H24" s="42">
        <v>0</v>
      </c>
      <c r="I24" s="42">
        <v>1361</v>
      </c>
      <c r="J24" s="42">
        <v>77</v>
      </c>
      <c r="K24" s="10"/>
    </row>
    <row r="25" spans="1:11" x14ac:dyDescent="0.2">
      <c r="A25" t="s">
        <v>377</v>
      </c>
      <c r="B25" t="s">
        <v>179</v>
      </c>
      <c r="D25" s="10">
        <v>100</v>
      </c>
      <c r="E25" s="10">
        <v>100</v>
      </c>
      <c r="F25" s="10">
        <v>100</v>
      </c>
      <c r="G25" s="10">
        <v>287.32</v>
      </c>
      <c r="H25" s="42">
        <v>246.75</v>
      </c>
      <c r="I25" s="42">
        <v>519</v>
      </c>
      <c r="J25" s="42">
        <v>181</v>
      </c>
      <c r="K25" s="10"/>
    </row>
    <row r="26" spans="1:11" x14ac:dyDescent="0.2">
      <c r="A26" s="13" t="s">
        <v>17</v>
      </c>
      <c r="D26" s="10"/>
      <c r="E26" s="10"/>
      <c r="F26" s="10"/>
      <c r="G26" s="10"/>
      <c r="H26" s="42"/>
      <c r="I26" s="42"/>
      <c r="J26" s="42"/>
      <c r="K26" s="10"/>
    </row>
    <row r="27" spans="1:11" x14ac:dyDescent="0.2">
      <c r="A27" s="13" t="s">
        <v>601</v>
      </c>
      <c r="B27" s="13" t="s">
        <v>652</v>
      </c>
      <c r="D27" s="10">
        <v>1000</v>
      </c>
      <c r="E27" s="10">
        <v>706.66</v>
      </c>
      <c r="F27" s="10">
        <v>1000</v>
      </c>
      <c r="G27" s="10">
        <v>129.5</v>
      </c>
      <c r="H27" s="42">
        <v>1553.23</v>
      </c>
      <c r="I27" s="42">
        <v>7833</v>
      </c>
      <c r="J27" s="42">
        <v>5313</v>
      </c>
      <c r="K27" s="10"/>
    </row>
    <row r="28" spans="1:11" x14ac:dyDescent="0.2">
      <c r="A28" s="13" t="s">
        <v>602</v>
      </c>
      <c r="B28" s="13" t="s">
        <v>651</v>
      </c>
      <c r="D28" s="10">
        <v>5000</v>
      </c>
      <c r="E28" s="10">
        <v>7126.34</v>
      </c>
      <c r="F28" s="10">
        <v>5000</v>
      </c>
      <c r="G28" s="10">
        <v>4015.22</v>
      </c>
      <c r="H28" s="42">
        <v>9491.68</v>
      </c>
      <c r="I28" s="42">
        <v>1674</v>
      </c>
      <c r="J28" s="42">
        <v>2278</v>
      </c>
      <c r="K28" s="10"/>
    </row>
    <row r="29" spans="1:11" x14ac:dyDescent="0.2">
      <c r="A29" s="13" t="s">
        <v>695</v>
      </c>
      <c r="B29" s="13" t="s">
        <v>696</v>
      </c>
      <c r="D29" s="10">
        <v>300</v>
      </c>
      <c r="E29" s="10">
        <v>0</v>
      </c>
      <c r="F29" s="10">
        <v>200</v>
      </c>
      <c r="G29" s="10">
        <v>0</v>
      </c>
      <c r="H29" s="42">
        <v>140.93</v>
      </c>
      <c r="I29" s="42">
        <v>353</v>
      </c>
      <c r="J29" s="42">
        <v>0</v>
      </c>
      <c r="K29" s="10"/>
    </row>
    <row r="30" spans="1:11" x14ac:dyDescent="0.2">
      <c r="A30" t="s">
        <v>6</v>
      </c>
      <c r="D30" s="10"/>
      <c r="E30" s="10"/>
      <c r="F30" s="10"/>
      <c r="G30" s="10"/>
      <c r="H30" s="42"/>
      <c r="I30" s="42"/>
      <c r="J30" s="42"/>
      <c r="K30" s="10"/>
    </row>
    <row r="31" spans="1:11" x14ac:dyDescent="0.2">
      <c r="A31" t="s">
        <v>781</v>
      </c>
      <c r="B31" t="s">
        <v>616</v>
      </c>
      <c r="D31" s="10">
        <v>200</v>
      </c>
      <c r="E31" s="10">
        <v>0</v>
      </c>
      <c r="F31" s="10">
        <v>0</v>
      </c>
      <c r="G31" s="10">
        <v>0</v>
      </c>
      <c r="H31" s="42">
        <v>0</v>
      </c>
      <c r="I31" s="42">
        <v>386</v>
      </c>
      <c r="J31" s="42">
        <v>2000</v>
      </c>
      <c r="K31" s="10"/>
    </row>
    <row r="32" spans="1:11" x14ac:dyDescent="0.2">
      <c r="A32" t="s">
        <v>378</v>
      </c>
      <c r="B32" t="s">
        <v>14</v>
      </c>
      <c r="D32" s="10">
        <v>250</v>
      </c>
      <c r="E32" s="10">
        <v>904.31</v>
      </c>
      <c r="F32" s="10">
        <v>0</v>
      </c>
      <c r="G32" s="10">
        <v>0</v>
      </c>
      <c r="H32" s="42">
        <v>0</v>
      </c>
      <c r="I32" s="42">
        <v>0</v>
      </c>
      <c r="J32" s="42">
        <v>0</v>
      </c>
      <c r="K32" s="10"/>
    </row>
    <row r="33" spans="1:11" x14ac:dyDescent="0.2">
      <c r="A33" s="13" t="s">
        <v>599</v>
      </c>
      <c r="B33" s="29" t="s">
        <v>105</v>
      </c>
      <c r="D33" s="10">
        <v>1500</v>
      </c>
      <c r="E33" s="10">
        <v>2474.0100000000002</v>
      </c>
      <c r="F33" s="10">
        <v>1500</v>
      </c>
      <c r="G33" s="10">
        <v>53009.5</v>
      </c>
      <c r="H33" s="41">
        <v>8411.7099999999991</v>
      </c>
      <c r="I33" s="41">
        <v>2984</v>
      </c>
      <c r="J33" s="41">
        <v>4427</v>
      </c>
      <c r="K33" s="10"/>
    </row>
    <row r="34" spans="1:11" x14ac:dyDescent="0.2">
      <c r="A34" t="s">
        <v>5</v>
      </c>
      <c r="D34" s="10"/>
      <c r="E34" s="10"/>
      <c r="F34" s="10"/>
      <c r="G34" s="10"/>
      <c r="H34" s="42"/>
      <c r="I34" s="42"/>
      <c r="J34" s="42"/>
      <c r="K34" s="10"/>
    </row>
    <row r="35" spans="1:11" x14ac:dyDescent="0.2">
      <c r="A35" s="29" t="s">
        <v>766</v>
      </c>
      <c r="B35" s="29" t="s">
        <v>101</v>
      </c>
      <c r="D35" s="10">
        <v>100</v>
      </c>
      <c r="E35" s="10">
        <v>0</v>
      </c>
      <c r="F35" s="10">
        <v>0</v>
      </c>
      <c r="G35" s="10">
        <v>0</v>
      </c>
      <c r="H35" s="42">
        <v>4.49</v>
      </c>
      <c r="I35" s="42">
        <v>46</v>
      </c>
      <c r="J35" s="42">
        <v>2</v>
      </c>
      <c r="K35" s="10"/>
    </row>
    <row r="36" spans="1:11" x14ac:dyDescent="0.2">
      <c r="A36" t="s">
        <v>379</v>
      </c>
      <c r="B36" t="s">
        <v>100</v>
      </c>
      <c r="D36" s="10">
        <v>600</v>
      </c>
      <c r="E36" s="10">
        <v>536.54999999999995</v>
      </c>
      <c r="F36" s="10">
        <v>500</v>
      </c>
      <c r="G36" s="10">
        <v>421.81</v>
      </c>
      <c r="H36" s="42">
        <v>441.09</v>
      </c>
      <c r="I36" s="42">
        <v>511</v>
      </c>
      <c r="J36" s="42">
        <v>411</v>
      </c>
      <c r="K36" s="10"/>
    </row>
    <row r="37" spans="1:11" x14ac:dyDescent="0.2">
      <c r="A37" t="s">
        <v>165</v>
      </c>
      <c r="D37" s="10"/>
      <c r="E37" s="10"/>
      <c r="F37" s="10"/>
      <c r="G37" s="10"/>
      <c r="H37" s="42"/>
      <c r="I37" s="42"/>
      <c r="J37" s="42"/>
      <c r="K37" s="10"/>
    </row>
    <row r="38" spans="1:11" x14ac:dyDescent="0.2">
      <c r="A38" t="s">
        <v>380</v>
      </c>
      <c r="B38" t="s">
        <v>167</v>
      </c>
      <c r="D38" s="10">
        <v>0</v>
      </c>
      <c r="E38" s="10">
        <v>0</v>
      </c>
      <c r="F38" s="10">
        <v>0</v>
      </c>
      <c r="G38" s="10">
        <v>0</v>
      </c>
      <c r="H38" s="42">
        <v>290.95</v>
      </c>
      <c r="I38" s="42">
        <v>157</v>
      </c>
      <c r="J38" s="42">
        <v>85</v>
      </c>
      <c r="K38" s="10"/>
    </row>
    <row r="39" spans="1:11" x14ac:dyDescent="0.2">
      <c r="A39" t="s">
        <v>159</v>
      </c>
      <c r="D39" s="10"/>
      <c r="E39" s="10"/>
      <c r="F39" s="10"/>
      <c r="G39" s="10"/>
      <c r="H39" s="42"/>
      <c r="I39" s="42"/>
      <c r="J39" s="42"/>
    </row>
    <row r="40" spans="1:11" x14ac:dyDescent="0.2">
      <c r="A40" s="13" t="s">
        <v>600</v>
      </c>
      <c r="B40" s="13" t="s">
        <v>160</v>
      </c>
      <c r="D40" s="10">
        <v>200</v>
      </c>
      <c r="E40" s="10">
        <v>0</v>
      </c>
      <c r="F40" s="10">
        <v>0</v>
      </c>
      <c r="G40" s="10">
        <v>0</v>
      </c>
      <c r="H40" s="42">
        <v>0</v>
      </c>
      <c r="I40" s="42">
        <v>0</v>
      </c>
      <c r="J40" s="42">
        <v>110</v>
      </c>
      <c r="K40" s="10"/>
    </row>
    <row r="41" spans="1:11" x14ac:dyDescent="0.2">
      <c r="A41" t="s">
        <v>381</v>
      </c>
      <c r="B41" t="s">
        <v>162</v>
      </c>
      <c r="D41" s="10">
        <v>500</v>
      </c>
      <c r="E41" s="10">
        <v>0</v>
      </c>
      <c r="F41" s="10">
        <v>0</v>
      </c>
      <c r="G41" s="10">
        <v>0</v>
      </c>
      <c r="H41" s="42">
        <v>161.69999999999999</v>
      </c>
      <c r="I41" s="42">
        <v>130</v>
      </c>
      <c r="J41" s="42">
        <v>232</v>
      </c>
      <c r="K41" s="10"/>
    </row>
    <row r="42" spans="1:11" x14ac:dyDescent="0.2">
      <c r="A42" t="s">
        <v>382</v>
      </c>
      <c r="B42" t="s">
        <v>163</v>
      </c>
      <c r="D42" s="10">
        <v>700</v>
      </c>
      <c r="E42" s="10">
        <v>1216.23</v>
      </c>
      <c r="F42" s="10">
        <v>720</v>
      </c>
      <c r="G42" s="10">
        <v>2013.86</v>
      </c>
      <c r="H42" s="42">
        <v>3764.49</v>
      </c>
      <c r="I42" s="42">
        <v>2428</v>
      </c>
      <c r="J42" s="42">
        <v>2286</v>
      </c>
      <c r="K42" s="10"/>
    </row>
    <row r="43" spans="1:11" x14ac:dyDescent="0.2">
      <c r="A43" t="s">
        <v>153</v>
      </c>
      <c r="D43" s="10"/>
      <c r="E43" s="10"/>
      <c r="F43" s="10"/>
      <c r="G43" s="10"/>
      <c r="H43" s="42"/>
      <c r="I43" s="42"/>
      <c r="J43" s="42"/>
      <c r="K43" s="10"/>
    </row>
    <row r="44" spans="1:11" x14ac:dyDescent="0.2">
      <c r="A44" t="s">
        <v>383</v>
      </c>
      <c r="B44" t="s">
        <v>156</v>
      </c>
      <c r="D44" s="10">
        <v>100</v>
      </c>
      <c r="E44" s="10">
        <v>0</v>
      </c>
      <c r="F44" s="10">
        <v>0</v>
      </c>
      <c r="G44" s="10">
        <v>0</v>
      </c>
      <c r="H44" s="42">
        <v>0</v>
      </c>
      <c r="I44" s="42">
        <v>0</v>
      </c>
      <c r="J44" s="42">
        <v>55</v>
      </c>
      <c r="K44" s="10"/>
    </row>
    <row r="45" spans="1:11" x14ac:dyDescent="0.2">
      <c r="A45" t="s">
        <v>146</v>
      </c>
      <c r="D45" s="10"/>
      <c r="E45" s="10"/>
      <c r="F45" s="10"/>
      <c r="G45" s="10"/>
      <c r="H45" s="42"/>
      <c r="I45" s="42"/>
      <c r="J45" s="42"/>
      <c r="K45" s="10"/>
    </row>
    <row r="46" spans="1:11" x14ac:dyDescent="0.2">
      <c r="A46" t="s">
        <v>384</v>
      </c>
      <c r="B46" t="s">
        <v>96</v>
      </c>
      <c r="D46" s="10">
        <v>0</v>
      </c>
      <c r="E46" s="10">
        <v>0</v>
      </c>
      <c r="F46" s="10">
        <v>0</v>
      </c>
      <c r="G46" s="10">
        <v>0</v>
      </c>
      <c r="H46" s="41">
        <v>1208</v>
      </c>
      <c r="I46" s="41">
        <v>924</v>
      </c>
      <c r="J46" s="41">
        <v>1201</v>
      </c>
      <c r="K46" s="10"/>
    </row>
    <row r="47" spans="1:11" x14ac:dyDescent="0.2">
      <c r="A47" t="s">
        <v>385</v>
      </c>
      <c r="B47" t="s">
        <v>149</v>
      </c>
      <c r="D47" s="10">
        <v>10000</v>
      </c>
      <c r="E47" s="10">
        <v>9102</v>
      </c>
      <c r="F47" s="10">
        <v>10000</v>
      </c>
      <c r="G47" s="10">
        <v>8924</v>
      </c>
      <c r="H47" s="41">
        <v>8942</v>
      </c>
      <c r="I47" s="41">
        <v>4245</v>
      </c>
      <c r="J47" s="41">
        <v>5765</v>
      </c>
      <c r="K47" s="10"/>
    </row>
    <row r="48" spans="1:11" x14ac:dyDescent="0.2">
      <c r="A48" t="s">
        <v>138</v>
      </c>
      <c r="D48" s="10"/>
      <c r="E48" s="10"/>
      <c r="F48" s="10"/>
      <c r="G48" s="10"/>
      <c r="H48" s="42"/>
      <c r="I48" s="42"/>
      <c r="J48" s="42"/>
      <c r="K48" s="10"/>
    </row>
    <row r="49" spans="1:11" x14ac:dyDescent="0.2">
      <c r="A49" t="s">
        <v>386</v>
      </c>
      <c r="B49" t="s">
        <v>139</v>
      </c>
      <c r="D49" s="10">
        <v>10000</v>
      </c>
      <c r="E49" s="10">
        <v>9250.2800000000007</v>
      </c>
      <c r="F49" s="10">
        <v>12000</v>
      </c>
      <c r="G49" s="10">
        <v>9876.2099999999991</v>
      </c>
      <c r="H49" s="41">
        <v>9231.36</v>
      </c>
      <c r="I49" s="41">
        <v>7335</v>
      </c>
      <c r="J49" s="41">
        <v>7550</v>
      </c>
      <c r="K49" s="10"/>
    </row>
    <row r="50" spans="1:11" x14ac:dyDescent="0.2">
      <c r="A50" t="s">
        <v>387</v>
      </c>
      <c r="B50" t="s">
        <v>140</v>
      </c>
      <c r="D50" s="10">
        <v>4000</v>
      </c>
      <c r="E50" s="10">
        <v>2155.2800000000002</v>
      </c>
      <c r="F50" s="10">
        <v>4000</v>
      </c>
      <c r="G50" s="10">
        <v>3501.66</v>
      </c>
      <c r="H50" s="41">
        <v>3577.98</v>
      </c>
      <c r="I50" s="41">
        <v>1246</v>
      </c>
      <c r="J50" s="41">
        <v>1557</v>
      </c>
      <c r="K50" s="10"/>
    </row>
    <row r="51" spans="1:11" x14ac:dyDescent="0.2">
      <c r="A51" t="s">
        <v>388</v>
      </c>
      <c r="B51" t="s">
        <v>141</v>
      </c>
      <c r="D51" s="10">
        <v>12000</v>
      </c>
      <c r="E51" s="10">
        <v>10784.85</v>
      </c>
      <c r="F51" s="10">
        <v>12000</v>
      </c>
      <c r="G51" s="10">
        <v>11201.35</v>
      </c>
      <c r="H51" s="42">
        <v>5877.52</v>
      </c>
      <c r="I51" s="42">
        <v>5164</v>
      </c>
      <c r="J51" s="42">
        <v>3934</v>
      </c>
      <c r="K51" s="10"/>
    </row>
    <row r="52" spans="1:11" x14ac:dyDescent="0.2">
      <c r="A52" t="s">
        <v>389</v>
      </c>
      <c r="B52" t="s">
        <v>142</v>
      </c>
      <c r="D52" s="10">
        <v>500</v>
      </c>
      <c r="E52" s="10">
        <v>402</v>
      </c>
      <c r="F52" s="10">
        <v>500</v>
      </c>
      <c r="G52" s="10">
        <v>313.81</v>
      </c>
      <c r="H52" s="42">
        <v>1173.93</v>
      </c>
      <c r="I52" s="42">
        <v>828</v>
      </c>
      <c r="J52" s="42">
        <v>696</v>
      </c>
      <c r="K52" s="10"/>
    </row>
    <row r="53" spans="1:11" x14ac:dyDescent="0.2">
      <c r="A53" t="s">
        <v>390</v>
      </c>
      <c r="B53" t="s">
        <v>143</v>
      </c>
      <c r="D53" s="10">
        <v>2200</v>
      </c>
      <c r="E53" s="10">
        <v>2095.3000000000002</v>
      </c>
      <c r="F53" s="10">
        <v>200</v>
      </c>
      <c r="G53" s="10">
        <v>96</v>
      </c>
      <c r="H53" s="41">
        <v>3084.67</v>
      </c>
      <c r="I53" s="41">
        <v>1268</v>
      </c>
      <c r="J53" s="41">
        <v>1579</v>
      </c>
      <c r="K53" s="10"/>
    </row>
    <row r="54" spans="1:11" x14ac:dyDescent="0.2">
      <c r="A54" s="29" t="s">
        <v>585</v>
      </c>
      <c r="B54" s="20"/>
      <c r="D54" s="10"/>
      <c r="E54" s="10"/>
      <c r="F54" s="10"/>
      <c r="G54" s="10"/>
      <c r="H54" s="42"/>
      <c r="I54" s="42"/>
      <c r="J54" s="42"/>
      <c r="K54" s="10"/>
    </row>
    <row r="55" spans="1:11" x14ac:dyDescent="0.2">
      <c r="A55" s="29" t="s">
        <v>821</v>
      </c>
      <c r="B55" s="29" t="s">
        <v>590</v>
      </c>
      <c r="D55" s="10">
        <v>0</v>
      </c>
      <c r="E55" s="10">
        <v>0</v>
      </c>
      <c r="F55" s="10">
        <v>0</v>
      </c>
      <c r="G55" s="10">
        <v>0</v>
      </c>
      <c r="H55" s="42">
        <v>1835.88</v>
      </c>
      <c r="I55" s="42">
        <v>0</v>
      </c>
      <c r="J55" s="42">
        <v>0</v>
      </c>
      <c r="K55" s="10"/>
    </row>
    <row r="56" spans="1:11" x14ac:dyDescent="0.2">
      <c r="A56" s="29" t="s">
        <v>822</v>
      </c>
      <c r="B56" s="29" t="s">
        <v>823</v>
      </c>
      <c r="D56" s="10">
        <v>0</v>
      </c>
      <c r="E56" s="10">
        <v>2284.0700000000002</v>
      </c>
      <c r="F56" s="10">
        <v>200</v>
      </c>
      <c r="G56" s="10">
        <v>0</v>
      </c>
      <c r="H56" s="42">
        <v>427.5</v>
      </c>
      <c r="I56" s="42">
        <v>0</v>
      </c>
      <c r="J56" s="42">
        <v>0</v>
      </c>
      <c r="K56" s="10"/>
    </row>
    <row r="57" spans="1:11" x14ac:dyDescent="0.2">
      <c r="A57" s="29" t="s">
        <v>820</v>
      </c>
      <c r="B57" s="29" t="s">
        <v>129</v>
      </c>
      <c r="D57" s="10">
        <v>1500</v>
      </c>
      <c r="E57" s="10">
        <v>0</v>
      </c>
      <c r="F57" s="10">
        <v>0</v>
      </c>
      <c r="G57" s="10">
        <v>0</v>
      </c>
      <c r="H57" s="42">
        <v>4299</v>
      </c>
      <c r="I57" s="42">
        <v>0</v>
      </c>
      <c r="J57" s="42">
        <v>0</v>
      </c>
      <c r="K57" s="10"/>
    </row>
    <row r="58" spans="1:11" x14ac:dyDescent="0.2">
      <c r="A58" t="s">
        <v>132</v>
      </c>
      <c r="D58" s="10"/>
      <c r="E58" s="10"/>
      <c r="F58" s="10"/>
      <c r="G58" s="10"/>
      <c r="H58" s="42"/>
      <c r="I58" s="42"/>
      <c r="J58" s="42"/>
      <c r="K58" s="10"/>
    </row>
    <row r="59" spans="1:11" x14ac:dyDescent="0.2">
      <c r="A59" t="s">
        <v>806</v>
      </c>
      <c r="B59" t="s">
        <v>133</v>
      </c>
      <c r="D59" s="10">
        <v>4000</v>
      </c>
      <c r="E59" s="10">
        <v>0</v>
      </c>
      <c r="F59" s="10">
        <v>4000</v>
      </c>
      <c r="G59" s="10">
        <v>15425</v>
      </c>
      <c r="H59" s="42">
        <v>3625.3</v>
      </c>
      <c r="I59" s="42">
        <v>0</v>
      </c>
      <c r="J59" s="42">
        <v>0</v>
      </c>
      <c r="K59" s="10"/>
    </row>
    <row r="60" spans="1:11" x14ac:dyDescent="0.2">
      <c r="A60" t="s">
        <v>391</v>
      </c>
      <c r="B60" t="s">
        <v>134</v>
      </c>
      <c r="D60" s="10">
        <v>200</v>
      </c>
      <c r="E60" s="10">
        <v>0</v>
      </c>
      <c r="F60" s="10">
        <v>0</v>
      </c>
      <c r="G60" s="10">
        <v>0</v>
      </c>
      <c r="H60" s="42">
        <v>0</v>
      </c>
      <c r="I60" s="42">
        <v>570</v>
      </c>
      <c r="J60" s="42">
        <v>40</v>
      </c>
      <c r="K60" s="10"/>
    </row>
    <row r="61" spans="1:11" x14ac:dyDescent="0.2">
      <c r="A61" t="s">
        <v>392</v>
      </c>
      <c r="B61" s="29" t="s">
        <v>135</v>
      </c>
      <c r="D61" s="10">
        <v>1000</v>
      </c>
      <c r="E61" s="10">
        <v>0</v>
      </c>
      <c r="F61" s="10">
        <v>0</v>
      </c>
      <c r="G61" s="10">
        <v>847.56</v>
      </c>
      <c r="H61" s="41">
        <v>2849.05</v>
      </c>
      <c r="I61" s="41">
        <v>241</v>
      </c>
      <c r="J61" s="41">
        <v>7679</v>
      </c>
      <c r="K61" s="10"/>
    </row>
    <row r="62" spans="1:11" x14ac:dyDescent="0.2">
      <c r="A62" t="s">
        <v>127</v>
      </c>
      <c r="B62" s="29"/>
      <c r="D62" s="10"/>
      <c r="E62" s="10"/>
      <c r="F62" s="10"/>
      <c r="G62" s="10"/>
      <c r="H62" s="41"/>
      <c r="I62" s="41"/>
      <c r="J62" s="41"/>
      <c r="K62" s="10"/>
    </row>
    <row r="63" spans="1:11" x14ac:dyDescent="0.2">
      <c r="A63" s="29" t="s">
        <v>1007</v>
      </c>
      <c r="B63" s="29" t="s">
        <v>1008</v>
      </c>
      <c r="D63" s="10">
        <v>4000</v>
      </c>
      <c r="E63" s="10">
        <v>-13.2</v>
      </c>
      <c r="F63" s="10">
        <v>0</v>
      </c>
      <c r="G63" s="10">
        <v>0</v>
      </c>
      <c r="H63" s="41">
        <v>0</v>
      </c>
      <c r="I63" s="41">
        <v>0</v>
      </c>
      <c r="J63" s="41">
        <v>0</v>
      </c>
      <c r="K63" s="10"/>
    </row>
    <row r="64" spans="1:11" x14ac:dyDescent="0.2">
      <c r="A64" t="s">
        <v>125</v>
      </c>
      <c r="D64" s="10"/>
      <c r="E64" s="10"/>
      <c r="F64" s="10"/>
      <c r="G64" s="10"/>
      <c r="H64" s="42"/>
      <c r="I64" s="42"/>
      <c r="J64" s="42"/>
      <c r="K64" s="10"/>
    </row>
    <row r="65" spans="1:11" x14ac:dyDescent="0.2">
      <c r="A65" t="s">
        <v>393</v>
      </c>
      <c r="B65" t="s">
        <v>126</v>
      </c>
      <c r="D65" s="10"/>
      <c r="E65" s="10">
        <v>0</v>
      </c>
      <c r="F65" s="10">
        <v>0</v>
      </c>
      <c r="G65" s="10">
        <v>0</v>
      </c>
      <c r="H65" s="41">
        <v>0</v>
      </c>
      <c r="I65" s="41">
        <v>20000</v>
      </c>
      <c r="J65" s="41">
        <v>0</v>
      </c>
      <c r="K65" s="10"/>
    </row>
    <row r="66" spans="1:11" x14ac:dyDescent="0.2">
      <c r="A66" t="s">
        <v>120</v>
      </c>
      <c r="D66" s="10"/>
      <c r="E66" s="10"/>
      <c r="F66" s="10"/>
      <c r="G66" s="10"/>
      <c r="H66" s="42"/>
      <c r="I66" s="42"/>
      <c r="J66" s="42"/>
    </row>
    <row r="67" spans="1:11" x14ac:dyDescent="0.2">
      <c r="A67" t="s">
        <v>394</v>
      </c>
      <c r="B67" t="s">
        <v>104</v>
      </c>
      <c r="D67" s="10">
        <v>500</v>
      </c>
      <c r="E67" s="10">
        <v>385</v>
      </c>
      <c r="F67" s="10">
        <v>802</v>
      </c>
      <c r="G67" s="10">
        <v>953.5</v>
      </c>
      <c r="H67" s="42">
        <v>660.42</v>
      </c>
      <c r="I67" s="42">
        <v>730</v>
      </c>
      <c r="J67" s="42">
        <v>651</v>
      </c>
    </row>
    <row r="68" spans="1:11" x14ac:dyDescent="0.2">
      <c r="A68" t="s">
        <v>395</v>
      </c>
      <c r="B68" t="s">
        <v>102</v>
      </c>
      <c r="D68" s="10">
        <v>1500</v>
      </c>
      <c r="E68" s="10">
        <v>825.68</v>
      </c>
      <c r="F68" s="10">
        <v>1500</v>
      </c>
      <c r="G68" s="10">
        <v>249</v>
      </c>
      <c r="H68" s="42">
        <v>705</v>
      </c>
      <c r="I68" s="42">
        <v>1308</v>
      </c>
      <c r="J68" s="42">
        <v>200</v>
      </c>
    </row>
    <row r="69" spans="1:11" x14ac:dyDescent="0.2">
      <c r="A69" t="s">
        <v>396</v>
      </c>
      <c r="B69" t="s">
        <v>121</v>
      </c>
      <c r="D69" s="10">
        <v>0</v>
      </c>
      <c r="E69" s="10">
        <v>-2</v>
      </c>
      <c r="F69" s="10">
        <v>200</v>
      </c>
      <c r="G69" s="10">
        <v>0</v>
      </c>
      <c r="H69" s="42">
        <v>69.36</v>
      </c>
      <c r="I69" s="42">
        <v>216</v>
      </c>
      <c r="J69" s="42">
        <v>149</v>
      </c>
    </row>
    <row r="70" spans="1:11" x14ac:dyDescent="0.2">
      <c r="D70" s="10"/>
      <c r="E70" s="10"/>
      <c r="H70" s="42"/>
      <c r="I70" s="42"/>
      <c r="J70" s="42"/>
    </row>
    <row r="71" spans="1:11" x14ac:dyDescent="0.2">
      <c r="B71" s="26" t="s">
        <v>65</v>
      </c>
      <c r="D71" s="10">
        <f>SUM(D4:D70)</f>
        <v>148844.5</v>
      </c>
      <c r="E71" s="10">
        <f t="shared" ref="E71:J71" si="0">SUM(E4:E69)</f>
        <v>124265.89000000001</v>
      </c>
      <c r="F71" s="10">
        <f t="shared" si="0"/>
        <v>132000.25</v>
      </c>
      <c r="G71" s="10">
        <f t="shared" si="0"/>
        <v>133727.81</v>
      </c>
      <c r="H71" s="41">
        <f t="shared" si="0"/>
        <v>137768.07999999993</v>
      </c>
      <c r="I71" s="41">
        <f t="shared" si="0"/>
        <v>130434.2395</v>
      </c>
      <c r="J71" s="41">
        <f t="shared" si="0"/>
        <v>105799</v>
      </c>
    </row>
    <row r="72" spans="1:11" x14ac:dyDescent="0.2">
      <c r="A72" s="29" t="s">
        <v>1012</v>
      </c>
      <c r="E72" s="10"/>
    </row>
    <row r="73" spans="1:11" x14ac:dyDescent="0.2">
      <c r="A73" s="29" t="s">
        <v>1013</v>
      </c>
    </row>
    <row r="74" spans="1:11" x14ac:dyDescent="0.2">
      <c r="A74" s="29" t="s">
        <v>1014</v>
      </c>
    </row>
    <row r="75" spans="1:11" x14ac:dyDescent="0.2">
      <c r="A75" s="29" t="s">
        <v>1015</v>
      </c>
    </row>
    <row r="76" spans="1:11" x14ac:dyDescent="0.2">
      <c r="A76" s="29" t="s">
        <v>1016</v>
      </c>
    </row>
    <row r="77" spans="1:11" x14ac:dyDescent="0.2">
      <c r="A77" s="29" t="s">
        <v>1017</v>
      </c>
    </row>
    <row r="78" spans="1:11" x14ac:dyDescent="0.2">
      <c r="A78" s="29" t="s">
        <v>1018</v>
      </c>
    </row>
    <row r="79" spans="1:11" x14ac:dyDescent="0.2">
      <c r="A79" s="29" t="s">
        <v>1019</v>
      </c>
    </row>
  </sheetData>
  <phoneticPr fontId="2" type="noConversion"/>
  <pageMargins left="0.25" right="0.25" top="0.75" bottom="0.75" header="0.3" footer="0.3"/>
  <pageSetup orientation="landscape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5"/>
  <sheetViews>
    <sheetView workbookViewId="0">
      <selection activeCell="E27" sqref="E27"/>
    </sheetView>
  </sheetViews>
  <sheetFormatPr defaultRowHeight="12.75" x14ac:dyDescent="0.2"/>
  <cols>
    <col min="1" max="1" width="18.28515625" customWidth="1"/>
    <col min="2" max="2" width="27.42578125" customWidth="1"/>
    <col min="3" max="3" width="5.7109375" customWidth="1"/>
    <col min="4" max="7" width="11.7109375" customWidth="1"/>
    <col min="8" max="9" width="10.7109375" customWidth="1"/>
    <col min="10" max="10" width="11.28515625" customWidth="1"/>
  </cols>
  <sheetData>
    <row r="1" spans="1:10" ht="15.75" x14ac:dyDescent="0.25">
      <c r="B1" s="14" t="s">
        <v>937</v>
      </c>
      <c r="D1" s="1">
        <v>2015</v>
      </c>
      <c r="E1" s="51">
        <v>2014</v>
      </c>
      <c r="F1" s="51">
        <v>2014</v>
      </c>
      <c r="G1" s="51">
        <v>2013</v>
      </c>
      <c r="H1" s="51">
        <v>2012</v>
      </c>
      <c r="I1" s="51">
        <v>2011</v>
      </c>
      <c r="J1" s="17">
        <v>2010</v>
      </c>
    </row>
    <row r="2" spans="1:10" x14ac:dyDescent="0.2">
      <c r="A2" t="s">
        <v>89</v>
      </c>
      <c r="D2" s="1" t="s">
        <v>596</v>
      </c>
      <c r="E2" s="51" t="s">
        <v>1076</v>
      </c>
      <c r="F2" s="51" t="s">
        <v>596</v>
      </c>
      <c r="G2" s="51" t="s">
        <v>597</v>
      </c>
      <c r="H2" s="51" t="s">
        <v>597</v>
      </c>
      <c r="I2" s="51" t="s">
        <v>782</v>
      </c>
      <c r="J2" s="17" t="s">
        <v>597</v>
      </c>
    </row>
    <row r="3" spans="1:10" x14ac:dyDescent="0.2">
      <c r="A3" t="s">
        <v>223</v>
      </c>
      <c r="E3" s="10"/>
    </row>
    <row r="4" spans="1:10" x14ac:dyDescent="0.2">
      <c r="A4" t="s">
        <v>397</v>
      </c>
      <c r="B4" t="s">
        <v>928</v>
      </c>
      <c r="D4" s="10">
        <v>3600</v>
      </c>
      <c r="E4" s="10">
        <v>3600</v>
      </c>
      <c r="F4" s="10">
        <v>3600</v>
      </c>
      <c r="G4" s="10">
        <v>5735.37</v>
      </c>
      <c r="H4" s="10">
        <v>6343.08</v>
      </c>
      <c r="I4" s="10">
        <v>15794</v>
      </c>
      <c r="J4" s="10">
        <f>10823+668</f>
        <v>11491</v>
      </c>
    </row>
    <row r="5" spans="1:10" x14ac:dyDescent="0.2">
      <c r="B5" t="s">
        <v>927</v>
      </c>
      <c r="D5" s="10">
        <v>2400</v>
      </c>
      <c r="E5" s="10">
        <v>2099.84</v>
      </c>
      <c r="F5" s="10">
        <v>3000</v>
      </c>
      <c r="G5" s="10">
        <v>0</v>
      </c>
      <c r="H5" s="10"/>
      <c r="I5" s="10"/>
      <c r="J5" s="10"/>
    </row>
    <row r="6" spans="1:10" x14ac:dyDescent="0.2">
      <c r="B6" s="29" t="s">
        <v>938</v>
      </c>
      <c r="D6" s="10">
        <v>500</v>
      </c>
      <c r="E6" s="10">
        <v>0</v>
      </c>
      <c r="F6" s="10">
        <v>500</v>
      </c>
      <c r="G6" s="10">
        <v>0</v>
      </c>
      <c r="H6" s="10"/>
      <c r="I6" s="10"/>
      <c r="J6" s="10"/>
    </row>
    <row r="7" spans="1:10" x14ac:dyDescent="0.2">
      <c r="A7" t="s">
        <v>219</v>
      </c>
      <c r="D7" s="10"/>
      <c r="E7" s="10"/>
      <c r="F7" s="10"/>
      <c r="G7" s="10"/>
      <c r="H7" s="10"/>
      <c r="I7" s="10"/>
      <c r="J7" s="10"/>
    </row>
    <row r="8" spans="1:10" x14ac:dyDescent="0.2">
      <c r="A8" t="s">
        <v>398</v>
      </c>
      <c r="B8" t="s">
        <v>92</v>
      </c>
      <c r="D8" s="10">
        <f>0.062*SUM(D4:D6)</f>
        <v>403</v>
      </c>
      <c r="E8" s="10">
        <v>353.42</v>
      </c>
      <c r="F8" s="10">
        <v>490</v>
      </c>
      <c r="G8" s="10">
        <v>355.59</v>
      </c>
      <c r="H8" s="10">
        <v>393.25</v>
      </c>
      <c r="I8" s="10">
        <v>979</v>
      </c>
      <c r="J8" s="10">
        <v>713</v>
      </c>
    </row>
    <row r="9" spans="1:10" x14ac:dyDescent="0.2">
      <c r="A9" t="s">
        <v>399</v>
      </c>
      <c r="B9" t="s">
        <v>94</v>
      </c>
      <c r="D9" s="10">
        <f>0.0145*SUM(D4:D6)</f>
        <v>94.25</v>
      </c>
      <c r="E9" s="10">
        <v>82.67</v>
      </c>
      <c r="F9" s="10">
        <v>96</v>
      </c>
      <c r="G9" s="10">
        <v>83.18</v>
      </c>
      <c r="H9" s="10">
        <v>91.99</v>
      </c>
      <c r="I9" s="10">
        <v>229</v>
      </c>
      <c r="J9" s="10">
        <v>168</v>
      </c>
    </row>
    <row r="10" spans="1:10" x14ac:dyDescent="0.2">
      <c r="A10" t="s">
        <v>50</v>
      </c>
      <c r="D10" s="10"/>
      <c r="E10" s="10"/>
      <c r="F10" s="10"/>
      <c r="G10" s="10"/>
      <c r="H10" s="10"/>
      <c r="I10" s="10"/>
      <c r="J10" s="10"/>
    </row>
    <row r="11" spans="1:10" x14ac:dyDescent="0.2">
      <c r="A11" t="s">
        <v>400</v>
      </c>
      <c r="B11" t="s">
        <v>213</v>
      </c>
      <c r="D11" s="10">
        <v>500</v>
      </c>
      <c r="E11" s="10">
        <v>0</v>
      </c>
      <c r="F11" s="10">
        <v>500</v>
      </c>
      <c r="G11" s="10">
        <v>0</v>
      </c>
      <c r="H11" s="10">
        <v>0</v>
      </c>
      <c r="I11" s="10">
        <v>0</v>
      </c>
      <c r="J11" s="10">
        <v>0</v>
      </c>
    </row>
    <row r="12" spans="1:10" x14ac:dyDescent="0.2">
      <c r="A12" t="s">
        <v>36</v>
      </c>
      <c r="D12" s="10"/>
      <c r="E12" s="10"/>
      <c r="F12" s="10"/>
      <c r="G12" s="10"/>
      <c r="H12" s="42"/>
      <c r="I12" s="42"/>
      <c r="J12" s="42"/>
    </row>
    <row r="13" spans="1:10" x14ac:dyDescent="0.2">
      <c r="A13" t="s">
        <v>401</v>
      </c>
      <c r="B13" t="s">
        <v>40</v>
      </c>
      <c r="D13" s="10">
        <v>200</v>
      </c>
      <c r="E13" s="10">
        <v>0</v>
      </c>
      <c r="F13" s="10">
        <v>200</v>
      </c>
      <c r="G13" s="10">
        <v>0</v>
      </c>
      <c r="H13" s="41">
        <v>0</v>
      </c>
      <c r="I13" s="41">
        <v>156</v>
      </c>
      <c r="J13" s="41">
        <v>0</v>
      </c>
    </row>
    <row r="14" spans="1:10" x14ac:dyDescent="0.2">
      <c r="A14" s="13" t="s">
        <v>656</v>
      </c>
      <c r="B14" s="13" t="s">
        <v>657</v>
      </c>
      <c r="D14" s="10">
        <v>0</v>
      </c>
      <c r="E14" s="10">
        <v>0</v>
      </c>
      <c r="F14" s="10">
        <v>0</v>
      </c>
      <c r="G14" s="10">
        <v>0</v>
      </c>
      <c r="H14" s="42">
        <v>0</v>
      </c>
      <c r="I14" s="42">
        <v>27</v>
      </c>
      <c r="J14" s="42">
        <v>5</v>
      </c>
    </row>
    <row r="15" spans="1:10" x14ac:dyDescent="0.2">
      <c r="A15" t="s">
        <v>180</v>
      </c>
      <c r="D15" s="10"/>
      <c r="E15" s="10"/>
      <c r="F15" s="10"/>
      <c r="G15" s="10"/>
      <c r="H15" s="42"/>
      <c r="I15" s="42"/>
      <c r="J15" s="42"/>
    </row>
    <row r="16" spans="1:10" x14ac:dyDescent="0.2">
      <c r="A16" t="s">
        <v>402</v>
      </c>
      <c r="B16" s="29" t="s">
        <v>939</v>
      </c>
      <c r="D16" s="10">
        <v>500</v>
      </c>
      <c r="E16" s="10">
        <v>518.45000000000005</v>
      </c>
      <c r="F16" s="10">
        <v>1500</v>
      </c>
      <c r="G16" s="10">
        <v>155.51</v>
      </c>
      <c r="H16" s="41">
        <v>516.70000000000005</v>
      </c>
      <c r="I16" s="41">
        <v>6590</v>
      </c>
      <c r="J16" s="41">
        <f>2956+35+75+75</f>
        <v>3141</v>
      </c>
    </row>
    <row r="17" spans="1:10" x14ac:dyDescent="0.2">
      <c r="A17" t="s">
        <v>799</v>
      </c>
      <c r="B17" t="s">
        <v>800</v>
      </c>
      <c r="D17" s="10">
        <v>0</v>
      </c>
      <c r="E17" s="10">
        <v>0</v>
      </c>
      <c r="F17" s="10">
        <v>0</v>
      </c>
      <c r="G17" s="10">
        <v>0</v>
      </c>
      <c r="H17" s="41">
        <v>0</v>
      </c>
      <c r="I17" s="41">
        <v>234</v>
      </c>
      <c r="J17" s="41">
        <v>0</v>
      </c>
    </row>
    <row r="18" spans="1:10" x14ac:dyDescent="0.2">
      <c r="A18" t="s">
        <v>801</v>
      </c>
      <c r="D18" s="10"/>
      <c r="E18" s="10"/>
      <c r="F18" s="10"/>
      <c r="G18" s="10"/>
      <c r="H18" s="42"/>
      <c r="I18" s="42"/>
      <c r="J18" s="42"/>
    </row>
    <row r="19" spans="1:10" x14ac:dyDescent="0.2">
      <c r="A19" t="s">
        <v>798</v>
      </c>
      <c r="B19" t="s">
        <v>100</v>
      </c>
      <c r="D19" s="10">
        <v>0</v>
      </c>
      <c r="E19" s="10">
        <v>0</v>
      </c>
      <c r="F19" s="10">
        <v>0</v>
      </c>
      <c r="G19" s="10">
        <v>0</v>
      </c>
      <c r="H19" s="42">
        <v>0</v>
      </c>
      <c r="I19" s="42">
        <v>42</v>
      </c>
      <c r="J19" s="42">
        <v>0</v>
      </c>
    </row>
    <row r="20" spans="1:10" x14ac:dyDescent="0.2">
      <c r="A20" t="s">
        <v>797</v>
      </c>
      <c r="B20" t="s">
        <v>167</v>
      </c>
      <c r="D20" s="10">
        <v>0</v>
      </c>
      <c r="E20" s="10">
        <v>0</v>
      </c>
      <c r="F20" s="10">
        <v>0</v>
      </c>
      <c r="G20" s="10">
        <v>0</v>
      </c>
      <c r="H20" s="42">
        <v>0</v>
      </c>
      <c r="I20" s="42">
        <v>324</v>
      </c>
      <c r="J20" s="42">
        <v>0</v>
      </c>
    </row>
    <row r="21" spans="1:10" x14ac:dyDescent="0.2">
      <c r="A21" t="s">
        <v>159</v>
      </c>
      <c r="D21" s="10"/>
      <c r="E21" s="10"/>
      <c r="F21" s="10"/>
      <c r="G21" s="10"/>
      <c r="H21" s="42"/>
      <c r="I21" s="42"/>
      <c r="J21" s="42"/>
    </row>
    <row r="22" spans="1:10" x14ac:dyDescent="0.2">
      <c r="A22" t="s">
        <v>403</v>
      </c>
      <c r="B22" t="s">
        <v>162</v>
      </c>
      <c r="D22" s="10">
        <v>0</v>
      </c>
      <c r="E22" s="10">
        <v>0</v>
      </c>
      <c r="F22" s="10">
        <v>0</v>
      </c>
      <c r="G22" s="10">
        <v>0</v>
      </c>
      <c r="H22" s="42">
        <v>103.6</v>
      </c>
      <c r="I22" s="42">
        <v>65</v>
      </c>
      <c r="J22" s="42">
        <v>11</v>
      </c>
    </row>
    <row r="23" spans="1:10" x14ac:dyDescent="0.2">
      <c r="A23" t="s">
        <v>404</v>
      </c>
      <c r="B23" t="s">
        <v>163</v>
      </c>
      <c r="D23" s="10">
        <v>200</v>
      </c>
      <c r="E23" s="10">
        <v>99.2</v>
      </c>
      <c r="F23" s="10">
        <v>200</v>
      </c>
      <c r="G23" s="10">
        <v>120.4</v>
      </c>
      <c r="H23" s="41">
        <v>42.6</v>
      </c>
      <c r="I23" s="41">
        <v>321</v>
      </c>
      <c r="J23" s="41">
        <v>397</v>
      </c>
    </row>
    <row r="24" spans="1:10" x14ac:dyDescent="0.2">
      <c r="A24" t="s">
        <v>127</v>
      </c>
      <c r="D24" s="10"/>
      <c r="E24" s="10"/>
      <c r="F24" s="10"/>
      <c r="G24" s="10"/>
      <c r="H24" s="42"/>
      <c r="I24" s="42"/>
      <c r="J24" s="42"/>
    </row>
    <row r="25" spans="1:10" x14ac:dyDescent="0.2">
      <c r="A25" t="s">
        <v>405</v>
      </c>
      <c r="B25" s="29" t="s">
        <v>910</v>
      </c>
      <c r="D25" s="10">
        <v>2500</v>
      </c>
      <c r="E25" s="10">
        <v>1581.8</v>
      </c>
      <c r="F25" s="10">
        <v>2500</v>
      </c>
      <c r="G25" s="10">
        <v>0</v>
      </c>
      <c r="H25" s="42">
        <v>0</v>
      </c>
      <c r="I25" s="42">
        <v>2583</v>
      </c>
      <c r="J25" s="42">
        <v>1404</v>
      </c>
    </row>
    <row r="26" spans="1:10" x14ac:dyDescent="0.2">
      <c r="A26" t="s">
        <v>120</v>
      </c>
      <c r="D26" s="10"/>
      <c r="E26" s="10"/>
      <c r="F26" s="10"/>
      <c r="G26" s="10"/>
      <c r="H26" s="42"/>
      <c r="I26" s="42"/>
      <c r="J26" s="42"/>
    </row>
    <row r="27" spans="1:10" x14ac:dyDescent="0.2">
      <c r="A27" s="13" t="s">
        <v>654</v>
      </c>
      <c r="B27" s="13" t="s">
        <v>655</v>
      </c>
      <c r="D27" s="10">
        <v>500</v>
      </c>
      <c r="E27" s="10">
        <v>0</v>
      </c>
      <c r="F27" s="10">
        <v>500</v>
      </c>
      <c r="G27" s="10">
        <v>0</v>
      </c>
      <c r="H27" s="42">
        <v>30</v>
      </c>
      <c r="I27" s="42">
        <v>75</v>
      </c>
      <c r="J27" s="42">
        <v>0</v>
      </c>
    </row>
    <row r="28" spans="1:10" x14ac:dyDescent="0.2">
      <c r="A28" s="13" t="s">
        <v>653</v>
      </c>
      <c r="B28" s="29" t="s">
        <v>1043</v>
      </c>
      <c r="D28" s="10">
        <v>1000</v>
      </c>
      <c r="E28" s="10">
        <v>0</v>
      </c>
      <c r="F28" s="10">
        <v>0</v>
      </c>
      <c r="G28" s="10">
        <v>2500</v>
      </c>
      <c r="H28" s="41">
        <v>2500</v>
      </c>
      <c r="I28" s="41">
        <v>5389</v>
      </c>
      <c r="J28" s="41">
        <v>1984</v>
      </c>
    </row>
    <row r="29" spans="1:10" x14ac:dyDescent="0.2">
      <c r="A29" s="29" t="s">
        <v>768</v>
      </c>
      <c r="B29" s="29" t="s">
        <v>648</v>
      </c>
      <c r="D29" s="10">
        <v>0</v>
      </c>
      <c r="E29" s="10">
        <v>0</v>
      </c>
      <c r="F29" s="10">
        <v>0</v>
      </c>
      <c r="G29" s="10">
        <v>0</v>
      </c>
      <c r="H29" s="42">
        <v>120</v>
      </c>
      <c r="I29" s="42">
        <v>0</v>
      </c>
      <c r="J29" s="42">
        <v>46</v>
      </c>
    </row>
    <row r="30" spans="1:10" x14ac:dyDescent="0.2">
      <c r="A30" t="s">
        <v>406</v>
      </c>
      <c r="B30" t="s">
        <v>121</v>
      </c>
      <c r="D30" s="10">
        <v>0</v>
      </c>
      <c r="E30" s="10">
        <v>0</v>
      </c>
      <c r="F30" s="10">
        <v>1000</v>
      </c>
      <c r="G30" s="10">
        <v>0</v>
      </c>
      <c r="H30" s="42">
        <v>0</v>
      </c>
      <c r="I30" s="42">
        <v>88</v>
      </c>
      <c r="J30" s="42">
        <v>0</v>
      </c>
    </row>
    <row r="31" spans="1:10" x14ac:dyDescent="0.2">
      <c r="A31" t="s">
        <v>407</v>
      </c>
      <c r="B31" t="s">
        <v>123</v>
      </c>
      <c r="D31" s="10">
        <v>0</v>
      </c>
      <c r="E31" s="10">
        <v>90</v>
      </c>
      <c r="F31" s="10">
        <v>0</v>
      </c>
      <c r="G31" s="10">
        <v>225</v>
      </c>
      <c r="H31" s="42">
        <v>225.44</v>
      </c>
      <c r="I31" s="42">
        <v>0</v>
      </c>
      <c r="J31" s="42">
        <v>0</v>
      </c>
    </row>
    <row r="32" spans="1:10" x14ac:dyDescent="0.2">
      <c r="D32" s="10"/>
      <c r="E32" s="10"/>
      <c r="F32" s="10"/>
      <c r="G32" s="10"/>
      <c r="H32" s="42"/>
      <c r="I32" s="42"/>
      <c r="J32" s="42"/>
    </row>
    <row r="33" spans="1:10" x14ac:dyDescent="0.2">
      <c r="B33" s="26" t="s">
        <v>65</v>
      </c>
      <c r="D33" s="10">
        <f>SUM(D4:D31)</f>
        <v>12397.25</v>
      </c>
      <c r="E33" s="10">
        <f>SUM(E4:E31)</f>
        <v>8425.3799999999992</v>
      </c>
      <c r="F33" s="10">
        <f>SUM(F4:F31)</f>
        <v>14086</v>
      </c>
      <c r="G33" s="10">
        <f>SUM(G4:G31)</f>
        <v>9175.0499999999993</v>
      </c>
      <c r="H33" s="41">
        <f t="shared" ref="H33:J33" si="0">SUM(H4:H32)</f>
        <v>10366.660000000002</v>
      </c>
      <c r="I33" s="41">
        <f t="shared" si="0"/>
        <v>32896</v>
      </c>
      <c r="J33" s="41">
        <f t="shared" si="0"/>
        <v>19360</v>
      </c>
    </row>
    <row r="35" spans="1:10" x14ac:dyDescent="0.2">
      <c r="A35" s="13"/>
    </row>
  </sheetData>
  <phoneticPr fontId="2" type="noConversion"/>
  <pageMargins left="0.25" right="0.25" top="0.75" bottom="0.75" header="0.3" footer="0.3"/>
  <pageSetup orientation="landscape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5"/>
  <sheetViews>
    <sheetView workbookViewId="0">
      <selection activeCell="E8" sqref="E8"/>
    </sheetView>
  </sheetViews>
  <sheetFormatPr defaultRowHeight="12.75" x14ac:dyDescent="0.2"/>
  <cols>
    <col min="1" max="1" width="17.7109375" customWidth="1"/>
    <col min="2" max="2" width="28.5703125" customWidth="1"/>
    <col min="3" max="3" width="5.7109375" customWidth="1"/>
    <col min="4" max="7" width="11.7109375" customWidth="1"/>
    <col min="8" max="10" width="10.7109375" customWidth="1"/>
  </cols>
  <sheetData>
    <row r="1" spans="1:11" ht="15.75" x14ac:dyDescent="0.25">
      <c r="B1" s="14" t="s">
        <v>719</v>
      </c>
      <c r="D1" s="1">
        <v>2015</v>
      </c>
      <c r="E1" s="51">
        <v>2014</v>
      </c>
      <c r="F1" s="51">
        <v>2014</v>
      </c>
      <c r="G1" s="51">
        <v>2013</v>
      </c>
      <c r="H1" s="51">
        <v>2012</v>
      </c>
      <c r="I1" s="51">
        <v>2011</v>
      </c>
      <c r="J1" s="17">
        <v>2010</v>
      </c>
    </row>
    <row r="2" spans="1:11" x14ac:dyDescent="0.2">
      <c r="D2" s="1" t="s">
        <v>596</v>
      </c>
      <c r="E2" s="51" t="s">
        <v>1076</v>
      </c>
      <c r="F2" s="51" t="s">
        <v>596</v>
      </c>
      <c r="G2" s="51" t="s">
        <v>597</v>
      </c>
      <c r="H2" s="51" t="s">
        <v>597</v>
      </c>
      <c r="I2" s="51" t="s">
        <v>597</v>
      </c>
      <c r="J2" s="51" t="s">
        <v>597</v>
      </c>
    </row>
    <row r="5" spans="1:11" x14ac:dyDescent="0.2">
      <c r="A5" s="29" t="s">
        <v>89</v>
      </c>
      <c r="B5" s="13"/>
      <c r="H5" s="10"/>
      <c r="I5" s="10"/>
      <c r="J5" s="36"/>
    </row>
    <row r="6" spans="1:11" x14ac:dyDescent="0.2">
      <c r="A6" s="29" t="s">
        <v>710</v>
      </c>
      <c r="B6" s="29" t="s">
        <v>139</v>
      </c>
      <c r="D6" s="10">
        <v>0</v>
      </c>
      <c r="E6" s="10">
        <v>0</v>
      </c>
      <c r="F6" s="19">
        <v>0</v>
      </c>
      <c r="G6" s="19">
        <v>0</v>
      </c>
      <c r="H6" s="21">
        <v>0</v>
      </c>
      <c r="I6" s="21">
        <v>0</v>
      </c>
      <c r="J6" s="41">
        <v>0</v>
      </c>
    </row>
    <row r="7" spans="1:11" x14ac:dyDescent="0.2">
      <c r="A7" s="29" t="s">
        <v>711</v>
      </c>
      <c r="B7" s="29" t="s">
        <v>712</v>
      </c>
      <c r="D7" s="10">
        <v>250</v>
      </c>
      <c r="E7" s="10">
        <v>288.02</v>
      </c>
      <c r="F7" s="10">
        <v>250</v>
      </c>
      <c r="G7" s="10">
        <v>234.9</v>
      </c>
      <c r="H7" s="10">
        <f>234.9+1.56</f>
        <v>236.46</v>
      </c>
      <c r="I7" s="10">
        <v>235</v>
      </c>
      <c r="J7" s="41">
        <v>235</v>
      </c>
    </row>
    <row r="8" spans="1:11" x14ac:dyDescent="0.2">
      <c r="D8" s="10"/>
      <c r="E8" s="10"/>
      <c r="H8" s="10"/>
      <c r="I8" s="10"/>
    </row>
    <row r="9" spans="1:11" x14ac:dyDescent="0.2">
      <c r="B9" s="33" t="s">
        <v>65</v>
      </c>
      <c r="D9" s="10">
        <v>250</v>
      </c>
      <c r="E9" s="10">
        <f>SUM(E6:E7)</f>
        <v>288.02</v>
      </c>
      <c r="F9" s="10">
        <v>250</v>
      </c>
      <c r="G9" s="10">
        <f>SUM(G6:G7)</f>
        <v>234.9</v>
      </c>
      <c r="H9" s="10">
        <f>SUM(H6:H8)</f>
        <v>236.46</v>
      </c>
      <c r="I9" s="10">
        <f>SUM(I6:I8)</f>
        <v>235</v>
      </c>
      <c r="J9" s="46">
        <f>SUM(J6:J8)</f>
        <v>235</v>
      </c>
      <c r="K9" s="29"/>
    </row>
    <row r="10" spans="1:11" x14ac:dyDescent="0.2">
      <c r="H10" s="13"/>
      <c r="I10" s="13"/>
    </row>
    <row r="12" spans="1:11" x14ac:dyDescent="0.2">
      <c r="H12" s="13"/>
      <c r="I12" s="13"/>
    </row>
    <row r="14" spans="1:11" x14ac:dyDescent="0.2">
      <c r="H14" s="13"/>
      <c r="I14" s="13"/>
    </row>
    <row r="15" spans="1:11" x14ac:dyDescent="0.2">
      <c r="H15" s="13"/>
      <c r="I15" s="13"/>
    </row>
    <row r="23" spans="8:9" x14ac:dyDescent="0.2">
      <c r="H23" s="13"/>
      <c r="I23" s="13"/>
    </row>
    <row r="24" spans="8:9" x14ac:dyDescent="0.2">
      <c r="H24" s="13"/>
      <c r="I24" s="13"/>
    </row>
    <row r="25" spans="8:9" x14ac:dyDescent="0.2">
      <c r="H25" s="25"/>
      <c r="I25" s="25"/>
    </row>
  </sheetData>
  <pageMargins left="0.25" right="0.25" top="0.75" bottom="0.75" header="0.3" footer="0.3"/>
  <pageSetup orientation="landscape" copies="6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5"/>
  <sheetViews>
    <sheetView topLeftCell="A43" workbookViewId="0">
      <selection activeCell="D7" sqref="D7"/>
    </sheetView>
  </sheetViews>
  <sheetFormatPr defaultRowHeight="12.75" x14ac:dyDescent="0.2"/>
  <cols>
    <col min="1" max="1" width="18.28515625" customWidth="1"/>
    <col min="2" max="2" width="27.5703125" customWidth="1"/>
    <col min="3" max="3" width="5.7109375" customWidth="1"/>
    <col min="4" max="7" width="11.7109375" customWidth="1"/>
    <col min="8" max="10" width="10.7109375" customWidth="1"/>
  </cols>
  <sheetData>
    <row r="1" spans="1:11" ht="15.75" x14ac:dyDescent="0.25">
      <c r="B1" s="14" t="s">
        <v>1021</v>
      </c>
      <c r="D1" s="1">
        <v>2015</v>
      </c>
      <c r="E1" s="51">
        <v>2014</v>
      </c>
      <c r="F1" s="51">
        <v>2014</v>
      </c>
      <c r="G1" s="51">
        <v>2013</v>
      </c>
      <c r="H1" s="51">
        <v>2012</v>
      </c>
      <c r="I1" s="51">
        <v>2011</v>
      </c>
      <c r="J1" s="17">
        <v>2010</v>
      </c>
    </row>
    <row r="2" spans="1:11" ht="15.75" x14ac:dyDescent="0.25">
      <c r="B2" s="14" t="s">
        <v>1022</v>
      </c>
      <c r="D2" s="1" t="s">
        <v>596</v>
      </c>
      <c r="E2" s="51" t="s">
        <v>1076</v>
      </c>
      <c r="F2" s="51" t="s">
        <v>596</v>
      </c>
      <c r="G2" s="51" t="s">
        <v>597</v>
      </c>
      <c r="H2" s="51" t="s">
        <v>597</v>
      </c>
      <c r="I2" s="51" t="s">
        <v>597</v>
      </c>
      <c r="J2" s="51" t="s">
        <v>597</v>
      </c>
    </row>
    <row r="3" spans="1:11" x14ac:dyDescent="0.2">
      <c r="A3" t="s">
        <v>88</v>
      </c>
      <c r="J3" s="36"/>
    </row>
    <row r="4" spans="1:11" x14ac:dyDescent="0.2">
      <c r="A4" t="s">
        <v>45</v>
      </c>
      <c r="B4" t="s">
        <v>46</v>
      </c>
      <c r="D4" s="10">
        <v>4400</v>
      </c>
      <c r="E4" s="10">
        <v>6082.04</v>
      </c>
      <c r="F4" s="10">
        <v>4400</v>
      </c>
      <c r="G4" s="10">
        <v>4421.13</v>
      </c>
      <c r="H4" s="41">
        <v>4391.38</v>
      </c>
      <c r="I4" s="41">
        <v>4959</v>
      </c>
      <c r="J4" s="41">
        <v>4304</v>
      </c>
      <c r="K4" s="42"/>
    </row>
    <row r="5" spans="1:11" x14ac:dyDescent="0.2">
      <c r="A5" s="13" t="s">
        <v>682</v>
      </c>
      <c r="B5" s="13" t="s">
        <v>683</v>
      </c>
      <c r="D5" s="10">
        <v>0</v>
      </c>
      <c r="E5" s="10">
        <v>160</v>
      </c>
      <c r="F5" s="10">
        <v>0</v>
      </c>
      <c r="G5" s="10">
        <v>0</v>
      </c>
      <c r="H5" s="42">
        <v>150</v>
      </c>
      <c r="I5" s="42">
        <v>2500</v>
      </c>
      <c r="J5" s="42">
        <v>300</v>
      </c>
    </row>
    <row r="6" spans="1:11" x14ac:dyDescent="0.2">
      <c r="A6" s="29" t="s">
        <v>1003</v>
      </c>
      <c r="B6" s="29" t="s">
        <v>1004</v>
      </c>
      <c r="D6" s="10">
        <v>0</v>
      </c>
      <c r="E6" s="10">
        <v>0</v>
      </c>
      <c r="F6" s="10">
        <v>0</v>
      </c>
      <c r="G6" s="10">
        <v>5953.28</v>
      </c>
      <c r="H6" s="42">
        <v>0</v>
      </c>
      <c r="I6" s="42">
        <v>0</v>
      </c>
      <c r="J6" s="42">
        <v>0</v>
      </c>
    </row>
    <row r="7" spans="1:11" x14ac:dyDescent="0.2">
      <c r="B7" t="s">
        <v>229</v>
      </c>
      <c r="D7" s="10">
        <f>D53-D4</f>
        <v>47999.75</v>
      </c>
      <c r="E7" s="10">
        <v>17619</v>
      </c>
      <c r="F7" s="73">
        <f>38400-F4</f>
        <v>34000</v>
      </c>
      <c r="G7" s="73">
        <v>33536</v>
      </c>
      <c r="H7" s="58">
        <f>H53-6000</f>
        <v>23121.459999999995</v>
      </c>
      <c r="I7" s="58">
        <v>30235</v>
      </c>
      <c r="J7" s="58">
        <v>27019</v>
      </c>
    </row>
    <row r="8" spans="1:11" x14ac:dyDescent="0.2">
      <c r="D8" s="10"/>
      <c r="E8" s="10"/>
      <c r="F8" s="10"/>
      <c r="G8" s="10"/>
      <c r="H8" s="42"/>
      <c r="I8" s="42"/>
      <c r="J8" s="42"/>
    </row>
    <row r="9" spans="1:11" x14ac:dyDescent="0.2">
      <c r="B9" s="26" t="s">
        <v>65</v>
      </c>
      <c r="D9" s="10">
        <f>SUM(D4:D7)</f>
        <v>52399.75</v>
      </c>
      <c r="E9" s="10">
        <f>SUM(E4:E7)</f>
        <v>23861.040000000001</v>
      </c>
      <c r="F9" s="10">
        <f>SUM(F4:F7)</f>
        <v>38400</v>
      </c>
      <c r="G9" s="10">
        <f>SUM(G4:G7)</f>
        <v>43910.41</v>
      </c>
      <c r="H9" s="41">
        <f>H4+H7</f>
        <v>27512.839999999997</v>
      </c>
      <c r="I9" s="41">
        <f>I4+I7</f>
        <v>35194</v>
      </c>
      <c r="J9" s="41">
        <f>J4+J7</f>
        <v>31323</v>
      </c>
    </row>
    <row r="10" spans="1:11" x14ac:dyDescent="0.2">
      <c r="A10" t="s">
        <v>89</v>
      </c>
      <c r="D10" s="10"/>
      <c r="E10" s="10"/>
      <c r="F10" s="10"/>
      <c r="G10" s="10"/>
      <c r="H10" s="42"/>
      <c r="I10" s="42"/>
      <c r="J10" s="42"/>
    </row>
    <row r="11" spans="1:11" x14ac:dyDescent="0.2">
      <c r="A11" t="s">
        <v>223</v>
      </c>
      <c r="D11" s="10"/>
      <c r="E11" s="10"/>
      <c r="F11" s="10"/>
      <c r="G11" s="10"/>
      <c r="H11" s="42"/>
      <c r="I11" s="42"/>
      <c r="J11" s="42"/>
    </row>
    <row r="12" spans="1:11" x14ac:dyDescent="0.2">
      <c r="A12" t="s">
        <v>52</v>
      </c>
      <c r="B12" t="s">
        <v>54</v>
      </c>
      <c r="D12" s="10">
        <v>6500</v>
      </c>
      <c r="E12" s="10">
        <v>5045.54</v>
      </c>
      <c r="F12" s="10">
        <f>225*26 + (20*26)</f>
        <v>6370</v>
      </c>
      <c r="G12" s="10">
        <v>240</v>
      </c>
      <c r="H12" s="42">
        <v>240</v>
      </c>
      <c r="I12" s="42">
        <v>240</v>
      </c>
      <c r="J12" s="42">
        <v>240</v>
      </c>
    </row>
    <row r="13" spans="1:11" x14ac:dyDescent="0.2">
      <c r="A13" t="s">
        <v>219</v>
      </c>
      <c r="D13" s="10"/>
      <c r="E13" s="10"/>
      <c r="F13" s="10"/>
      <c r="G13" s="10"/>
      <c r="H13" s="42"/>
      <c r="I13" s="42"/>
      <c r="J13" s="42"/>
    </row>
    <row r="14" spans="1:11" x14ac:dyDescent="0.2">
      <c r="A14" s="29" t="s">
        <v>1009</v>
      </c>
      <c r="B14" s="29" t="s">
        <v>221</v>
      </c>
      <c r="D14" s="10">
        <f>D12*0.075</f>
        <v>487.5</v>
      </c>
      <c r="E14" s="10">
        <v>220.12</v>
      </c>
      <c r="F14" s="10">
        <v>0</v>
      </c>
      <c r="G14" s="10">
        <v>0</v>
      </c>
      <c r="H14" s="42">
        <v>0</v>
      </c>
      <c r="I14" s="42">
        <v>0</v>
      </c>
      <c r="J14" s="42">
        <v>0</v>
      </c>
    </row>
    <row r="15" spans="1:11" x14ac:dyDescent="0.2">
      <c r="A15" t="s">
        <v>206</v>
      </c>
      <c r="B15" t="s">
        <v>92</v>
      </c>
      <c r="D15" s="10">
        <f>D12*0.062</f>
        <v>403</v>
      </c>
      <c r="E15" s="10">
        <v>316.20999999999998</v>
      </c>
      <c r="F15" s="10">
        <f>F12*0.062</f>
        <v>394.94</v>
      </c>
      <c r="G15" s="10">
        <v>14.88</v>
      </c>
      <c r="H15" s="42">
        <v>14.88</v>
      </c>
      <c r="I15" s="42">
        <v>15</v>
      </c>
      <c r="J15" s="42">
        <v>15</v>
      </c>
    </row>
    <row r="16" spans="1:11" x14ac:dyDescent="0.2">
      <c r="A16" t="s">
        <v>207</v>
      </c>
      <c r="B16" t="s">
        <v>94</v>
      </c>
      <c r="D16" s="10">
        <f>D12*0.0145</f>
        <v>94.25</v>
      </c>
      <c r="E16" s="10">
        <v>73.94</v>
      </c>
      <c r="F16" s="10">
        <f>F12*0.0145</f>
        <v>92.365000000000009</v>
      </c>
      <c r="G16" s="10">
        <v>3.48</v>
      </c>
      <c r="H16" s="42">
        <v>3.48</v>
      </c>
      <c r="I16" s="42">
        <v>0</v>
      </c>
      <c r="J16" s="42">
        <v>4</v>
      </c>
    </row>
    <row r="17" spans="1:10" x14ac:dyDescent="0.2">
      <c r="A17" s="13" t="s">
        <v>663</v>
      </c>
      <c r="D17" s="10"/>
      <c r="E17" s="10"/>
      <c r="F17" s="10"/>
      <c r="G17" s="10"/>
      <c r="H17" s="42"/>
      <c r="I17" s="42"/>
      <c r="J17" s="42"/>
    </row>
    <row r="18" spans="1:10" x14ac:dyDescent="0.2">
      <c r="A18" s="13" t="s">
        <v>659</v>
      </c>
      <c r="B18" s="13" t="s">
        <v>213</v>
      </c>
      <c r="D18" s="10">
        <v>500</v>
      </c>
      <c r="E18" s="10">
        <v>0</v>
      </c>
      <c r="F18" s="10">
        <v>500</v>
      </c>
      <c r="G18" s="10">
        <v>0</v>
      </c>
      <c r="H18" s="42">
        <v>0</v>
      </c>
      <c r="I18" s="42">
        <v>164</v>
      </c>
      <c r="J18" s="42">
        <v>0</v>
      </c>
    </row>
    <row r="19" spans="1:10" x14ac:dyDescent="0.2">
      <c r="A19" t="s">
        <v>180</v>
      </c>
      <c r="D19" s="10"/>
      <c r="E19" s="10"/>
      <c r="F19" s="10"/>
      <c r="G19" s="10"/>
      <c r="H19" s="42"/>
      <c r="I19" s="42"/>
      <c r="J19" s="42"/>
    </row>
    <row r="20" spans="1:10" x14ac:dyDescent="0.2">
      <c r="A20" t="s">
        <v>208</v>
      </c>
      <c r="B20" t="s">
        <v>182</v>
      </c>
      <c r="D20" s="10">
        <v>6000</v>
      </c>
      <c r="E20" s="10">
        <v>4615.74</v>
      </c>
      <c r="F20" s="10">
        <v>6000</v>
      </c>
      <c r="G20" s="10">
        <v>5003.68</v>
      </c>
      <c r="H20" s="42">
        <v>3678.13</v>
      </c>
      <c r="I20" s="42">
        <v>3606</v>
      </c>
      <c r="J20" s="42">
        <v>3823</v>
      </c>
    </row>
    <row r="21" spans="1:10" x14ac:dyDescent="0.2">
      <c r="A21" t="s">
        <v>72</v>
      </c>
      <c r="B21" t="s">
        <v>35</v>
      </c>
      <c r="D21" s="10">
        <v>0</v>
      </c>
      <c r="E21" s="10">
        <v>360</v>
      </c>
      <c r="F21" s="10">
        <v>0</v>
      </c>
      <c r="G21" s="10">
        <v>350.29</v>
      </c>
      <c r="H21" s="42">
        <v>65.569999999999993</v>
      </c>
      <c r="I21" s="42">
        <v>34</v>
      </c>
      <c r="J21" s="42">
        <v>153</v>
      </c>
    </row>
    <row r="22" spans="1:10" x14ac:dyDescent="0.2">
      <c r="A22" t="s">
        <v>23</v>
      </c>
      <c r="D22" s="10"/>
      <c r="E22" s="10"/>
      <c r="F22" s="10"/>
      <c r="G22" s="10"/>
      <c r="H22" s="42"/>
      <c r="I22" s="42"/>
      <c r="J22" s="42"/>
    </row>
    <row r="23" spans="1:10" x14ac:dyDescent="0.2">
      <c r="A23" t="s">
        <v>73</v>
      </c>
      <c r="B23" t="s">
        <v>171</v>
      </c>
      <c r="D23" s="10">
        <v>500</v>
      </c>
      <c r="E23" s="10">
        <v>37.86</v>
      </c>
      <c r="F23" s="10">
        <v>500</v>
      </c>
      <c r="G23" s="10">
        <v>843.97</v>
      </c>
      <c r="H23" s="42">
        <v>190.99</v>
      </c>
      <c r="I23" s="42">
        <v>50</v>
      </c>
      <c r="J23" s="42">
        <v>2118</v>
      </c>
    </row>
    <row r="24" spans="1:10" x14ac:dyDescent="0.2">
      <c r="A24" s="13" t="s">
        <v>660</v>
      </c>
      <c r="B24" s="13" t="s">
        <v>661</v>
      </c>
      <c r="D24" s="10">
        <v>415</v>
      </c>
      <c r="E24" s="10">
        <v>0</v>
      </c>
      <c r="F24" s="10">
        <v>500</v>
      </c>
      <c r="G24" s="10">
        <v>866.76</v>
      </c>
      <c r="H24" s="42">
        <v>0</v>
      </c>
      <c r="I24" s="42">
        <v>0</v>
      </c>
      <c r="J24" s="42">
        <v>0</v>
      </c>
    </row>
    <row r="25" spans="1:10" x14ac:dyDescent="0.2">
      <c r="A25" s="29" t="s">
        <v>802</v>
      </c>
      <c r="B25" s="29" t="s">
        <v>643</v>
      </c>
      <c r="D25" s="10">
        <v>0</v>
      </c>
      <c r="E25" s="10">
        <v>0</v>
      </c>
      <c r="F25" s="10">
        <v>0</v>
      </c>
      <c r="G25" s="10">
        <v>0</v>
      </c>
      <c r="H25" s="42">
        <v>0</v>
      </c>
      <c r="I25" s="42">
        <v>2755</v>
      </c>
      <c r="J25" s="42">
        <v>0</v>
      </c>
    </row>
    <row r="26" spans="1:10" x14ac:dyDescent="0.2">
      <c r="A26" t="s">
        <v>74</v>
      </c>
      <c r="B26" t="s">
        <v>178</v>
      </c>
      <c r="D26" s="10">
        <v>0</v>
      </c>
      <c r="E26" s="10">
        <v>0</v>
      </c>
      <c r="F26" s="10">
        <v>0</v>
      </c>
      <c r="G26" s="10">
        <v>0</v>
      </c>
      <c r="H26" s="44">
        <v>0</v>
      </c>
      <c r="I26" s="44">
        <v>0</v>
      </c>
      <c r="J26" s="44">
        <v>0</v>
      </c>
    </row>
    <row r="27" spans="1:10" ht="15" customHeight="1" x14ac:dyDescent="0.2">
      <c r="A27" s="29" t="s">
        <v>769</v>
      </c>
      <c r="B27" s="29" t="s">
        <v>770</v>
      </c>
      <c r="D27" s="10">
        <v>0</v>
      </c>
      <c r="E27" s="10">
        <v>0</v>
      </c>
      <c r="F27" s="10">
        <v>0</v>
      </c>
      <c r="G27" s="10">
        <v>0</v>
      </c>
      <c r="H27" s="44">
        <v>44.66</v>
      </c>
      <c r="I27" s="44">
        <v>393</v>
      </c>
      <c r="J27" s="44">
        <v>325</v>
      </c>
    </row>
    <row r="28" spans="1:10" x14ac:dyDescent="0.2">
      <c r="A28" t="s">
        <v>6</v>
      </c>
      <c r="D28" s="10"/>
      <c r="E28" s="10"/>
      <c r="F28" s="10"/>
      <c r="G28" s="10"/>
      <c r="H28" s="42"/>
      <c r="I28" s="42"/>
      <c r="J28" s="42"/>
    </row>
    <row r="29" spans="1:10" x14ac:dyDescent="0.2">
      <c r="A29" t="s">
        <v>75</v>
      </c>
      <c r="B29" t="s">
        <v>1020</v>
      </c>
      <c r="D29" s="10">
        <v>3000</v>
      </c>
      <c r="E29" s="10">
        <v>3285.6</v>
      </c>
      <c r="F29" s="10">
        <v>3000</v>
      </c>
      <c r="G29" s="10">
        <v>3275.31</v>
      </c>
      <c r="H29" s="41">
        <v>2534.11</v>
      </c>
      <c r="I29" s="41">
        <v>3507</v>
      </c>
      <c r="J29" s="41">
        <v>2567</v>
      </c>
    </row>
    <row r="30" spans="1:10" x14ac:dyDescent="0.2">
      <c r="A30" t="s">
        <v>5</v>
      </c>
      <c r="D30" s="10"/>
      <c r="E30" s="10"/>
      <c r="F30" s="10"/>
      <c r="G30" s="10"/>
      <c r="H30" s="42"/>
      <c r="I30" s="42"/>
      <c r="J30" s="42"/>
    </row>
    <row r="31" spans="1:10" x14ac:dyDescent="0.2">
      <c r="A31" s="13" t="s">
        <v>662</v>
      </c>
      <c r="B31" t="s">
        <v>100</v>
      </c>
      <c r="D31" s="10">
        <v>700</v>
      </c>
      <c r="E31" s="10">
        <v>616.20000000000005</v>
      </c>
      <c r="F31" s="10">
        <v>600</v>
      </c>
      <c r="G31" s="10">
        <v>951.91</v>
      </c>
      <c r="H31" s="42">
        <v>281.01</v>
      </c>
      <c r="I31" s="42">
        <f>332+46</f>
        <v>378</v>
      </c>
      <c r="J31" s="42">
        <v>331</v>
      </c>
    </row>
    <row r="32" spans="1:10" x14ac:dyDescent="0.2">
      <c r="A32" t="s">
        <v>159</v>
      </c>
      <c r="D32" s="10"/>
      <c r="E32" s="10"/>
      <c r="F32" s="10"/>
      <c r="G32" s="10"/>
      <c r="H32" s="42"/>
      <c r="I32" s="42"/>
      <c r="J32" s="42"/>
    </row>
    <row r="33" spans="1:12" x14ac:dyDescent="0.2">
      <c r="A33" t="s">
        <v>76</v>
      </c>
      <c r="B33" t="s">
        <v>163</v>
      </c>
      <c r="D33" s="10">
        <v>0</v>
      </c>
      <c r="E33" s="10">
        <v>0</v>
      </c>
      <c r="F33" s="10">
        <v>0</v>
      </c>
      <c r="G33" s="10">
        <v>268.5</v>
      </c>
      <c r="H33" s="42">
        <v>185</v>
      </c>
      <c r="I33" s="42">
        <v>253</v>
      </c>
      <c r="J33" s="42">
        <v>189</v>
      </c>
    </row>
    <row r="34" spans="1:12" x14ac:dyDescent="0.2">
      <c r="A34" t="s">
        <v>146</v>
      </c>
      <c r="D34" s="10"/>
      <c r="E34" s="10"/>
      <c r="F34" s="10"/>
      <c r="G34" s="10"/>
      <c r="H34" s="42"/>
      <c r="I34" s="42"/>
      <c r="J34" s="42"/>
    </row>
    <row r="35" spans="1:12" x14ac:dyDescent="0.2">
      <c r="A35" t="s">
        <v>77</v>
      </c>
      <c r="B35" t="s">
        <v>96</v>
      </c>
      <c r="D35" s="10">
        <v>0</v>
      </c>
      <c r="E35" s="10">
        <v>0</v>
      </c>
      <c r="F35" s="10">
        <v>0</v>
      </c>
      <c r="G35" s="10">
        <v>572.25</v>
      </c>
      <c r="H35" s="41">
        <v>661</v>
      </c>
      <c r="I35" s="41">
        <v>506</v>
      </c>
      <c r="J35" s="41">
        <v>658</v>
      </c>
    </row>
    <row r="36" spans="1:12" x14ac:dyDescent="0.2">
      <c r="A36" t="s">
        <v>78</v>
      </c>
      <c r="B36" t="s">
        <v>149</v>
      </c>
      <c r="D36" s="10">
        <v>0</v>
      </c>
      <c r="E36" s="10">
        <v>0</v>
      </c>
      <c r="F36" s="10">
        <v>0</v>
      </c>
      <c r="G36" s="10">
        <v>3056</v>
      </c>
      <c r="H36" s="41">
        <v>3063</v>
      </c>
      <c r="I36" s="41">
        <v>2165</v>
      </c>
      <c r="J36" s="41">
        <v>2943</v>
      </c>
    </row>
    <row r="37" spans="1:12" x14ac:dyDescent="0.2">
      <c r="A37" t="s">
        <v>138</v>
      </c>
      <c r="D37" s="10"/>
      <c r="E37" s="10"/>
      <c r="F37" s="10"/>
      <c r="G37" s="10"/>
      <c r="H37" s="42"/>
      <c r="I37" s="42"/>
      <c r="J37" s="42"/>
    </row>
    <row r="38" spans="1:12" x14ac:dyDescent="0.2">
      <c r="A38" t="s">
        <v>79</v>
      </c>
      <c r="B38" t="s">
        <v>139</v>
      </c>
      <c r="D38" s="10">
        <v>6000</v>
      </c>
      <c r="E38" s="10">
        <v>3940.91</v>
      </c>
      <c r="F38" s="10">
        <v>5000</v>
      </c>
      <c r="G38" s="10">
        <v>4767.76</v>
      </c>
      <c r="H38" s="42">
        <v>5452.23</v>
      </c>
      <c r="I38" s="42">
        <v>4571</v>
      </c>
      <c r="J38" s="42">
        <v>4419</v>
      </c>
    </row>
    <row r="39" spans="1:12" x14ac:dyDescent="0.2">
      <c r="A39" t="s">
        <v>80</v>
      </c>
      <c r="B39" t="s">
        <v>140</v>
      </c>
      <c r="D39" s="10">
        <v>400</v>
      </c>
      <c r="E39" s="10">
        <v>258.61</v>
      </c>
      <c r="F39" s="10">
        <v>335</v>
      </c>
      <c r="G39" s="10">
        <v>332.33</v>
      </c>
      <c r="H39" s="41">
        <v>385.85</v>
      </c>
      <c r="I39" s="41">
        <v>302</v>
      </c>
      <c r="J39" s="41">
        <v>345</v>
      </c>
      <c r="L39" s="29"/>
    </row>
    <row r="40" spans="1:12" x14ac:dyDescent="0.2">
      <c r="A40" t="s">
        <v>81</v>
      </c>
      <c r="B40" t="s">
        <v>141</v>
      </c>
      <c r="D40" s="10">
        <v>5000</v>
      </c>
      <c r="E40" s="10">
        <v>2445.52</v>
      </c>
      <c r="F40" s="10">
        <v>2908</v>
      </c>
      <c r="G40" s="10">
        <v>2121.11</v>
      </c>
      <c r="H40" s="42">
        <v>1354.19</v>
      </c>
      <c r="I40" s="42">
        <v>1951</v>
      </c>
      <c r="J40" s="42">
        <v>1750</v>
      </c>
    </row>
    <row r="41" spans="1:12" x14ac:dyDescent="0.2">
      <c r="A41" t="s">
        <v>82</v>
      </c>
      <c r="B41" t="s">
        <v>142</v>
      </c>
      <c r="D41" s="10">
        <v>3000</v>
      </c>
      <c r="E41" s="10">
        <v>1838.7</v>
      </c>
      <c r="F41" s="10">
        <v>2800</v>
      </c>
      <c r="G41" s="10">
        <v>2524.17</v>
      </c>
      <c r="H41" s="42">
        <v>3371.79</v>
      </c>
      <c r="I41" s="42">
        <v>3410</v>
      </c>
      <c r="J41" s="42">
        <v>3008</v>
      </c>
    </row>
    <row r="42" spans="1:12" x14ac:dyDescent="0.2">
      <c r="A42" t="s">
        <v>83</v>
      </c>
      <c r="B42" t="s">
        <v>143</v>
      </c>
      <c r="D42" s="10">
        <v>400</v>
      </c>
      <c r="E42" s="10">
        <v>290.69</v>
      </c>
      <c r="F42" s="10">
        <v>400</v>
      </c>
      <c r="G42" s="10">
        <v>376</v>
      </c>
      <c r="H42" s="41">
        <v>425.48</v>
      </c>
      <c r="I42" s="41">
        <v>338</v>
      </c>
      <c r="J42" s="41">
        <v>387</v>
      </c>
    </row>
    <row r="43" spans="1:12" x14ac:dyDescent="0.2">
      <c r="A43" t="s">
        <v>585</v>
      </c>
      <c r="D43" s="10"/>
      <c r="E43" s="10"/>
      <c r="F43" s="10"/>
      <c r="G43" s="10"/>
      <c r="H43" s="41"/>
      <c r="I43" s="41"/>
      <c r="J43" s="41"/>
    </row>
    <row r="44" spans="1:12" x14ac:dyDescent="0.2">
      <c r="A44" t="s">
        <v>783</v>
      </c>
      <c r="B44" t="s">
        <v>754</v>
      </c>
      <c r="D44" s="10">
        <v>0</v>
      </c>
      <c r="E44" s="10">
        <v>0</v>
      </c>
      <c r="F44" s="10">
        <v>0</v>
      </c>
      <c r="G44" s="10">
        <v>0</v>
      </c>
      <c r="H44" s="41">
        <v>0</v>
      </c>
      <c r="I44" s="41">
        <v>1069</v>
      </c>
      <c r="J44" s="41">
        <v>264</v>
      </c>
    </row>
    <row r="45" spans="1:12" x14ac:dyDescent="0.2">
      <c r="A45" t="s">
        <v>132</v>
      </c>
      <c r="D45" s="10"/>
      <c r="E45" s="10"/>
      <c r="F45" s="10"/>
      <c r="G45" s="10"/>
      <c r="H45" s="42"/>
      <c r="I45" s="42"/>
      <c r="J45" s="42"/>
    </row>
    <row r="46" spans="1:12" x14ac:dyDescent="0.2">
      <c r="A46" t="s">
        <v>84</v>
      </c>
      <c r="B46" t="s">
        <v>133</v>
      </c>
      <c r="D46" s="10">
        <v>15000</v>
      </c>
      <c r="E46" s="10">
        <v>0</v>
      </c>
      <c r="F46" s="10">
        <v>5000</v>
      </c>
      <c r="G46" s="10">
        <v>19271</v>
      </c>
      <c r="H46" s="42">
        <v>5829</v>
      </c>
      <c r="I46" s="42">
        <v>4508</v>
      </c>
      <c r="J46" s="42">
        <v>6629</v>
      </c>
    </row>
    <row r="47" spans="1:12" x14ac:dyDescent="0.2">
      <c r="A47" t="s">
        <v>85</v>
      </c>
      <c r="B47" t="s">
        <v>134</v>
      </c>
      <c r="D47" s="10"/>
      <c r="E47" s="10">
        <v>0</v>
      </c>
      <c r="F47" s="10">
        <v>0</v>
      </c>
      <c r="G47" s="10">
        <v>0</v>
      </c>
      <c r="H47" s="42">
        <v>0</v>
      </c>
      <c r="I47" s="42">
        <v>6015</v>
      </c>
      <c r="J47" s="42">
        <v>0</v>
      </c>
    </row>
    <row r="48" spans="1:12" x14ac:dyDescent="0.2">
      <c r="A48" t="s">
        <v>86</v>
      </c>
      <c r="B48" t="s">
        <v>135</v>
      </c>
      <c r="D48" s="10">
        <v>4000</v>
      </c>
      <c r="E48" s="10">
        <v>213.75</v>
      </c>
      <c r="F48" s="10">
        <v>4000</v>
      </c>
      <c r="G48" s="10">
        <v>0</v>
      </c>
      <c r="H48" s="42">
        <v>1191.46</v>
      </c>
      <c r="I48" s="42">
        <v>1684</v>
      </c>
      <c r="J48" s="42">
        <v>534</v>
      </c>
    </row>
    <row r="49" spans="1:12" x14ac:dyDescent="0.2">
      <c r="A49" s="29" t="s">
        <v>877</v>
      </c>
      <c r="B49" s="29" t="s">
        <v>878</v>
      </c>
      <c r="D49" s="10">
        <v>0</v>
      </c>
      <c r="E49" s="10">
        <v>0</v>
      </c>
      <c r="F49" s="10">
        <v>0</v>
      </c>
      <c r="G49" s="10">
        <v>0</v>
      </c>
      <c r="H49" s="42">
        <v>149.63</v>
      </c>
      <c r="I49" s="42">
        <v>0</v>
      </c>
      <c r="J49" s="42">
        <v>0</v>
      </c>
    </row>
    <row r="50" spans="1:12" x14ac:dyDescent="0.2">
      <c r="A50" t="s">
        <v>120</v>
      </c>
      <c r="D50" s="10"/>
      <c r="E50" s="10"/>
      <c r="F50" s="10"/>
      <c r="G50" s="10"/>
      <c r="H50" s="42"/>
      <c r="I50" s="42"/>
      <c r="J50" s="42"/>
    </row>
    <row r="51" spans="1:12" x14ac:dyDescent="0.2">
      <c r="A51" t="s">
        <v>87</v>
      </c>
      <c r="B51" t="s">
        <v>121</v>
      </c>
      <c r="D51" s="10">
        <v>0</v>
      </c>
      <c r="E51" s="10">
        <v>0</v>
      </c>
      <c r="F51" s="10">
        <v>0</v>
      </c>
      <c r="G51" s="10">
        <v>0</v>
      </c>
      <c r="H51" s="42">
        <v>0</v>
      </c>
      <c r="I51" s="42">
        <v>0</v>
      </c>
      <c r="J51" s="42">
        <v>0</v>
      </c>
    </row>
    <row r="52" spans="1:12" x14ac:dyDescent="0.2">
      <c r="D52" s="10"/>
      <c r="E52" s="10"/>
      <c r="F52" s="10"/>
      <c r="G52" s="10"/>
      <c r="H52" s="42"/>
      <c r="I52" s="42"/>
      <c r="J52" s="42"/>
      <c r="L52" s="29"/>
    </row>
    <row r="53" spans="1:12" x14ac:dyDescent="0.2">
      <c r="A53" s="36"/>
      <c r="B53" s="26" t="s">
        <v>65</v>
      </c>
      <c r="D53" s="10">
        <f>SUM(D12:D52)</f>
        <v>52399.75</v>
      </c>
      <c r="E53" s="10">
        <f>SUM(E12:E51)</f>
        <v>23559.390000000003</v>
      </c>
      <c r="F53" s="10">
        <f t="shared" ref="F53:J53" si="0">SUM(F12:F51)</f>
        <v>38400.305</v>
      </c>
      <c r="G53" s="10">
        <f t="shared" si="0"/>
        <v>44839.4</v>
      </c>
      <c r="H53" s="44">
        <f t="shared" si="0"/>
        <v>29121.459999999995</v>
      </c>
      <c r="I53" s="44">
        <f t="shared" si="0"/>
        <v>37914</v>
      </c>
      <c r="J53" s="44">
        <f t="shared" si="0"/>
        <v>30702</v>
      </c>
    </row>
    <row r="54" spans="1:12" x14ac:dyDescent="0.2">
      <c r="A54" s="43"/>
      <c r="E54" s="10"/>
      <c r="F54" s="10"/>
      <c r="G54" s="10"/>
    </row>
    <row r="55" spans="1:12" x14ac:dyDescent="0.2">
      <c r="A55" s="36"/>
    </row>
  </sheetData>
  <phoneticPr fontId="2" type="noConversion"/>
  <pageMargins left="0.25" right="0.25" top="0.75" bottom="0.75" header="0.3" footer="0.3"/>
  <pageSetup orientation="landscape" r:id="rId1"/>
  <headerFooter alignWithMargins="0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C8" sqref="C8"/>
    </sheetView>
  </sheetViews>
  <sheetFormatPr defaultRowHeight="12.75" x14ac:dyDescent="0.2"/>
  <cols>
    <col min="1" max="1" width="13.28515625" bestFit="1" customWidth="1"/>
    <col min="2" max="2" width="21.85546875" bestFit="1" customWidth="1"/>
    <col min="3" max="4" width="11.7109375" customWidth="1"/>
    <col min="6" max="6" width="10.85546875" bestFit="1" customWidth="1"/>
  </cols>
  <sheetData>
    <row r="1" spans="1:11" ht="15.75" x14ac:dyDescent="0.25">
      <c r="B1" s="14" t="s">
        <v>924</v>
      </c>
      <c r="C1" s="1">
        <v>2015</v>
      </c>
      <c r="D1" s="51">
        <v>2014</v>
      </c>
      <c r="E1" s="51">
        <v>2014</v>
      </c>
      <c r="F1" s="51">
        <v>2013</v>
      </c>
      <c r="G1" s="51">
        <v>2012</v>
      </c>
      <c r="H1" s="51">
        <v>2011</v>
      </c>
      <c r="I1" s="17">
        <v>2010</v>
      </c>
      <c r="J1" s="51">
        <v>2009</v>
      </c>
      <c r="K1" s="17">
        <v>2008</v>
      </c>
    </row>
    <row r="2" spans="1:11" ht="15.75" x14ac:dyDescent="0.25">
      <c r="B2" s="14" t="s">
        <v>1010</v>
      </c>
      <c r="C2" s="1" t="s">
        <v>596</v>
      </c>
      <c r="D2" s="51" t="s">
        <v>1005</v>
      </c>
      <c r="E2" s="51" t="s">
        <v>596</v>
      </c>
      <c r="F2" s="51" t="s">
        <v>597</v>
      </c>
      <c r="G2" s="70" t="s">
        <v>597</v>
      </c>
      <c r="H2" s="51" t="s">
        <v>597</v>
      </c>
      <c r="I2" s="51" t="s">
        <v>782</v>
      </c>
      <c r="J2" s="51" t="s">
        <v>597</v>
      </c>
      <c r="K2" s="18" t="s">
        <v>597</v>
      </c>
    </row>
    <row r="3" spans="1:11" x14ac:dyDescent="0.2">
      <c r="B3" s="33"/>
      <c r="C3" s="1"/>
      <c r="D3" s="33"/>
      <c r="E3" s="10"/>
      <c r="F3" s="10"/>
      <c r="G3" s="34"/>
      <c r="H3" s="34"/>
      <c r="I3" s="34"/>
      <c r="J3" s="35"/>
      <c r="K3" s="23"/>
    </row>
    <row r="4" spans="1:11" x14ac:dyDescent="0.2">
      <c r="A4" t="s">
        <v>89</v>
      </c>
      <c r="E4" s="10"/>
      <c r="F4" s="10"/>
      <c r="G4" s="17"/>
      <c r="H4" s="17"/>
      <c r="I4" s="17"/>
      <c r="J4" s="1"/>
      <c r="K4" s="18"/>
    </row>
    <row r="5" spans="1:11" x14ac:dyDescent="0.2">
      <c r="A5" s="29" t="s">
        <v>925</v>
      </c>
      <c r="B5" s="29" t="s">
        <v>697</v>
      </c>
      <c r="C5" s="72">
        <v>10500</v>
      </c>
      <c r="D5" s="72">
        <v>7000</v>
      </c>
      <c r="E5" s="10">
        <v>7000</v>
      </c>
      <c r="F5" s="10">
        <v>27000</v>
      </c>
      <c r="G5" s="10">
        <v>27000</v>
      </c>
      <c r="H5" s="10">
        <v>27000</v>
      </c>
      <c r="I5" s="10">
        <v>27000</v>
      </c>
      <c r="J5" s="10">
        <v>27000</v>
      </c>
      <c r="K5" s="10">
        <v>27000</v>
      </c>
    </row>
    <row r="6" spans="1:11" x14ac:dyDescent="0.2">
      <c r="A6" s="29"/>
      <c r="C6" s="10"/>
      <c r="E6" s="10"/>
      <c r="F6" s="10"/>
      <c r="G6" s="10"/>
      <c r="H6" s="10"/>
      <c r="I6" s="10"/>
      <c r="J6" s="10"/>
      <c r="K6" s="10"/>
    </row>
    <row r="7" spans="1:11" x14ac:dyDescent="0.2">
      <c r="B7" t="s">
        <v>919</v>
      </c>
      <c r="C7" s="10">
        <v>10500</v>
      </c>
      <c r="D7" s="10">
        <v>7000</v>
      </c>
      <c r="E7" s="10">
        <v>7000</v>
      </c>
      <c r="F7" s="10">
        <v>27000</v>
      </c>
      <c r="G7" s="10">
        <v>27000</v>
      </c>
      <c r="H7" s="10">
        <v>27000</v>
      </c>
      <c r="I7" s="10">
        <v>27000</v>
      </c>
      <c r="J7" s="10">
        <v>27000</v>
      </c>
      <c r="K7" s="10">
        <v>27000</v>
      </c>
    </row>
  </sheetData>
  <pageMargins left="0.7" right="0.7" top="0.75" bottom="0.7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C8" sqref="C8"/>
    </sheetView>
  </sheetViews>
  <sheetFormatPr defaultRowHeight="12.75" x14ac:dyDescent="0.2"/>
  <cols>
    <col min="1" max="1" width="20.7109375" customWidth="1"/>
    <col min="2" max="2" width="27.85546875" customWidth="1"/>
    <col min="3" max="4" width="11.7109375" customWidth="1"/>
    <col min="5" max="5" width="9.28515625" bestFit="1" customWidth="1"/>
    <col min="6" max="6" width="11.7109375" bestFit="1" customWidth="1"/>
    <col min="7" max="7" width="11.28515625" bestFit="1" customWidth="1"/>
    <col min="8" max="9" width="10.28515625" bestFit="1" customWidth="1"/>
  </cols>
  <sheetData>
    <row r="1" spans="1:9" ht="15.75" x14ac:dyDescent="0.25">
      <c r="B1" s="14" t="s">
        <v>920</v>
      </c>
      <c r="C1" s="1">
        <v>2015</v>
      </c>
      <c r="D1" s="51">
        <v>2014</v>
      </c>
      <c r="E1" s="51">
        <v>2014</v>
      </c>
      <c r="F1" s="51">
        <v>2013</v>
      </c>
      <c r="G1" s="51">
        <v>2012</v>
      </c>
      <c r="H1" s="51">
        <v>2011</v>
      </c>
      <c r="I1" s="17">
        <v>2010</v>
      </c>
    </row>
    <row r="2" spans="1:9" x14ac:dyDescent="0.2">
      <c r="C2" s="1" t="s">
        <v>596</v>
      </c>
      <c r="D2" s="51" t="s">
        <v>1005</v>
      </c>
      <c r="E2" s="51" t="s">
        <v>596</v>
      </c>
      <c r="F2" s="51" t="s">
        <v>597</v>
      </c>
      <c r="G2" s="70" t="s">
        <v>597</v>
      </c>
      <c r="H2" s="51" t="s">
        <v>597</v>
      </c>
      <c r="I2" s="51" t="s">
        <v>782</v>
      </c>
    </row>
    <row r="3" spans="1:9" x14ac:dyDescent="0.2">
      <c r="A3" s="29" t="s">
        <v>88</v>
      </c>
      <c r="I3" s="17"/>
    </row>
    <row r="4" spans="1:9" x14ac:dyDescent="0.2">
      <c r="A4" s="29" t="s">
        <v>923</v>
      </c>
      <c r="B4" s="29" t="s">
        <v>51</v>
      </c>
      <c r="C4" s="72">
        <f>'General Fund Revenues'!C4</f>
        <v>13000</v>
      </c>
      <c r="D4" s="72">
        <v>6162.13</v>
      </c>
      <c r="E4" s="10">
        <v>11400</v>
      </c>
      <c r="F4" s="10">
        <v>11380.96</v>
      </c>
      <c r="G4" s="32">
        <v>11361</v>
      </c>
      <c r="H4" s="32">
        <v>8588</v>
      </c>
      <c r="I4" s="32">
        <v>8506</v>
      </c>
    </row>
    <row r="5" spans="1:9" x14ac:dyDescent="0.2">
      <c r="C5" s="10"/>
      <c r="D5" s="10"/>
      <c r="E5" s="10"/>
      <c r="F5" s="10"/>
      <c r="G5" s="17"/>
      <c r="H5" s="17"/>
      <c r="I5" s="17"/>
    </row>
    <row r="6" spans="1:9" x14ac:dyDescent="0.2">
      <c r="B6" s="77" t="s">
        <v>65</v>
      </c>
      <c r="C6" s="111">
        <f>SUM(C4:C5)</f>
        <v>13000</v>
      </c>
      <c r="D6" s="111">
        <v>6162.13</v>
      </c>
      <c r="E6" s="10">
        <f>SUM(E4)</f>
        <v>11400</v>
      </c>
      <c r="F6" s="10">
        <v>11380.96</v>
      </c>
      <c r="G6" s="34">
        <f>SUM(G4)</f>
        <v>11361</v>
      </c>
      <c r="H6" s="34">
        <f t="shared" ref="H6:I6" si="0">SUM(H4:H5)</f>
        <v>8588</v>
      </c>
      <c r="I6" s="34">
        <f t="shared" si="0"/>
        <v>8506</v>
      </c>
    </row>
    <row r="7" spans="1:9" x14ac:dyDescent="0.2">
      <c r="A7" t="s">
        <v>89</v>
      </c>
      <c r="C7" s="10"/>
      <c r="D7" s="10"/>
      <c r="E7" s="10"/>
      <c r="F7" s="10"/>
      <c r="G7" s="17"/>
      <c r="H7" s="17"/>
      <c r="I7" s="17"/>
    </row>
    <row r="8" spans="1:9" x14ac:dyDescent="0.2">
      <c r="A8" t="s">
        <v>921</v>
      </c>
      <c r="B8" t="s">
        <v>922</v>
      </c>
      <c r="C8" s="10">
        <f>C4</f>
        <v>13000</v>
      </c>
      <c r="D8" s="10">
        <v>6162.13</v>
      </c>
      <c r="E8" s="10">
        <v>11400</v>
      </c>
      <c r="F8" s="10">
        <v>11380.69</v>
      </c>
      <c r="G8" s="10">
        <v>11360.8</v>
      </c>
      <c r="H8" s="10">
        <v>8588.08</v>
      </c>
      <c r="I8" s="10">
        <v>8506.44</v>
      </c>
    </row>
    <row r="9" spans="1:9" x14ac:dyDescent="0.2">
      <c r="A9" s="29"/>
      <c r="E9" s="10"/>
      <c r="F9" s="10"/>
      <c r="G9" s="10"/>
      <c r="H9" s="10"/>
      <c r="I9" s="10"/>
    </row>
    <row r="10" spans="1:9" x14ac:dyDescent="0.2">
      <c r="E10" s="10"/>
      <c r="F10" s="10"/>
      <c r="G10" s="10"/>
      <c r="H10" s="10"/>
      <c r="I10" s="10"/>
    </row>
    <row r="11" spans="1:9" x14ac:dyDescent="0.2">
      <c r="A11" s="29" t="s">
        <v>946</v>
      </c>
      <c r="E11" s="10"/>
      <c r="F11" s="10"/>
      <c r="G11" s="10"/>
      <c r="H11" s="10"/>
      <c r="I11" s="10"/>
    </row>
    <row r="12" spans="1:9" x14ac:dyDescent="0.2">
      <c r="A12" s="29" t="s">
        <v>947</v>
      </c>
      <c r="E12" s="10"/>
      <c r="F12" s="10"/>
      <c r="G12" s="10"/>
      <c r="H12" s="10"/>
      <c r="I12" s="10"/>
    </row>
    <row r="13" spans="1:9" x14ac:dyDescent="0.2">
      <c r="A13" s="29" t="s">
        <v>1042</v>
      </c>
      <c r="E13" s="10"/>
      <c r="F13" s="10"/>
      <c r="G13" s="10"/>
      <c r="H13" s="10"/>
      <c r="I13" s="10"/>
    </row>
    <row r="14" spans="1:9" x14ac:dyDescent="0.2">
      <c r="A14" s="29"/>
      <c r="E14" s="10"/>
      <c r="F14" s="10"/>
      <c r="G14" s="10"/>
      <c r="H14" s="10"/>
      <c r="I14" s="10"/>
    </row>
    <row r="15" spans="1:9" x14ac:dyDescent="0.2">
      <c r="E15" s="10"/>
      <c r="F15" s="10"/>
      <c r="G15" s="10"/>
      <c r="H15" s="10"/>
      <c r="I15" s="10"/>
    </row>
    <row r="16" spans="1:9" x14ac:dyDescent="0.2">
      <c r="A16" s="29"/>
      <c r="E16" s="10"/>
      <c r="F16" s="10"/>
      <c r="G16" s="10"/>
      <c r="H16" s="10"/>
      <c r="I16" s="10"/>
    </row>
    <row r="17" spans="1:9" x14ac:dyDescent="0.2">
      <c r="A17" s="29"/>
      <c r="E17" s="10"/>
      <c r="F17" s="10"/>
      <c r="G17" s="10"/>
      <c r="H17" s="10"/>
      <c r="I17" s="10"/>
    </row>
    <row r="18" spans="1:9" x14ac:dyDescent="0.2">
      <c r="A18" s="29"/>
      <c r="B18" s="29"/>
      <c r="C18" s="29"/>
      <c r="D18" s="29"/>
      <c r="E18" s="10"/>
      <c r="F18" s="10"/>
      <c r="G18" s="10"/>
      <c r="H18" s="10"/>
      <c r="I18" s="10"/>
    </row>
    <row r="19" spans="1:9" x14ac:dyDescent="0.2">
      <c r="A19" s="29"/>
      <c r="B19" s="29"/>
      <c r="C19" s="29"/>
      <c r="D19" s="29"/>
      <c r="E19" s="10"/>
      <c r="F19" s="10"/>
      <c r="G19" s="10"/>
      <c r="H19" s="10"/>
      <c r="I19" s="10"/>
    </row>
    <row r="20" spans="1:9" x14ac:dyDescent="0.2">
      <c r="A20" s="29"/>
      <c r="B20" s="29"/>
      <c r="C20" s="29"/>
      <c r="D20" s="29"/>
      <c r="E20" s="10"/>
      <c r="F20" s="10"/>
      <c r="G20" s="10"/>
      <c r="H20" s="10"/>
      <c r="I20" s="10"/>
    </row>
    <row r="21" spans="1:9" x14ac:dyDescent="0.2">
      <c r="E21" s="10"/>
      <c r="F21" s="10"/>
      <c r="G21" s="10"/>
      <c r="H21" s="10"/>
      <c r="I21" s="10"/>
    </row>
    <row r="22" spans="1:9" x14ac:dyDescent="0.2">
      <c r="A22" s="29"/>
      <c r="E22" s="10"/>
      <c r="F22" s="10"/>
      <c r="G22" s="10"/>
      <c r="H22" s="10"/>
      <c r="I22" s="10"/>
    </row>
    <row r="23" spans="1:9" x14ac:dyDescent="0.2">
      <c r="A23" s="29"/>
      <c r="E23" s="10"/>
      <c r="F23" s="10"/>
      <c r="G23" s="10"/>
      <c r="H23" s="10"/>
      <c r="I23" s="10"/>
    </row>
    <row r="24" spans="1:9" x14ac:dyDescent="0.2">
      <c r="E24" s="10"/>
      <c r="F24" s="10"/>
      <c r="G24" s="10"/>
      <c r="H24" s="10"/>
      <c r="I24" s="10"/>
    </row>
    <row r="25" spans="1:9" x14ac:dyDescent="0.2">
      <c r="A25" s="29"/>
      <c r="B25" s="29"/>
      <c r="C25" s="29"/>
      <c r="D25" s="29"/>
      <c r="E25" s="10"/>
      <c r="F25" s="10"/>
      <c r="G25" s="10"/>
      <c r="H25" s="10"/>
      <c r="I25" s="10"/>
    </row>
    <row r="26" spans="1:9" x14ac:dyDescent="0.2">
      <c r="A26" s="29"/>
      <c r="E26" s="10"/>
      <c r="F26" s="10"/>
      <c r="G26" s="10"/>
      <c r="H26" s="10"/>
      <c r="I26" s="10"/>
    </row>
    <row r="27" spans="1:9" x14ac:dyDescent="0.2">
      <c r="A27" s="29"/>
      <c r="E27" s="10"/>
      <c r="F27" s="10"/>
      <c r="G27" s="10"/>
      <c r="H27" s="10"/>
      <c r="I27" s="10"/>
    </row>
    <row r="28" spans="1:9" x14ac:dyDescent="0.2">
      <c r="A28" s="29"/>
      <c r="B28" s="29"/>
      <c r="C28" s="29"/>
      <c r="D28" s="29"/>
      <c r="E28" s="10"/>
      <c r="F28" s="10"/>
      <c r="G28" s="10"/>
      <c r="H28" s="10"/>
      <c r="I28" s="10"/>
    </row>
    <row r="29" spans="1:9" x14ac:dyDescent="0.2">
      <c r="B29" s="26"/>
      <c r="C29" s="26"/>
      <c r="D29" s="26"/>
      <c r="E29" s="10"/>
      <c r="F29" s="10"/>
      <c r="G29" s="10"/>
      <c r="H29" s="10"/>
      <c r="I29" s="10"/>
    </row>
  </sheetData>
  <pageMargins left="0.7" right="0.7" top="0.75" bottom="0.75" header="0.3" footer="0.3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C8" sqref="C8"/>
    </sheetView>
  </sheetViews>
  <sheetFormatPr defaultRowHeight="12.75" x14ac:dyDescent="0.2"/>
  <cols>
    <col min="1" max="1" width="28.5703125" bestFit="1" customWidth="1"/>
    <col min="2" max="2" width="34.5703125" bestFit="1" customWidth="1"/>
    <col min="3" max="3" width="9.7109375" bestFit="1" customWidth="1"/>
  </cols>
  <sheetData>
    <row r="1" spans="1:10" ht="15.75" x14ac:dyDescent="0.25">
      <c r="B1" s="14" t="s">
        <v>1055</v>
      </c>
      <c r="C1" s="1"/>
      <c r="D1" s="51"/>
      <c r="E1" s="51"/>
      <c r="F1" s="51"/>
      <c r="G1" s="51"/>
      <c r="H1" s="51"/>
      <c r="I1" s="17"/>
      <c r="J1" s="51"/>
    </row>
    <row r="2" spans="1:10" x14ac:dyDescent="0.2">
      <c r="C2" s="1"/>
      <c r="D2" s="51"/>
      <c r="E2" s="51"/>
      <c r="F2" s="51"/>
      <c r="G2" s="70"/>
      <c r="H2" s="51"/>
      <c r="I2" s="51"/>
      <c r="J2" s="51"/>
    </row>
    <row r="3" spans="1:10" x14ac:dyDescent="0.2">
      <c r="B3" s="33"/>
      <c r="C3" s="33"/>
      <c r="D3" s="33"/>
      <c r="E3" s="10"/>
      <c r="F3" s="34"/>
      <c r="G3" s="34"/>
      <c r="H3" s="34"/>
      <c r="I3" s="34"/>
      <c r="J3" s="35"/>
    </row>
    <row r="4" spans="1:10" x14ac:dyDescent="0.2">
      <c r="A4" s="29" t="s">
        <v>993</v>
      </c>
      <c r="B4" s="72">
        <v>48693.71</v>
      </c>
      <c r="C4" s="10"/>
      <c r="E4" s="10"/>
      <c r="F4" s="17"/>
      <c r="G4" s="17"/>
      <c r="H4" s="17"/>
      <c r="I4" s="17"/>
      <c r="J4" s="1"/>
    </row>
    <row r="5" spans="1:10" x14ac:dyDescent="0.2">
      <c r="A5" s="29" t="s">
        <v>1056</v>
      </c>
      <c r="B5" s="16">
        <v>23.02</v>
      </c>
      <c r="C5" s="10"/>
      <c r="D5" s="72"/>
      <c r="E5" s="10"/>
      <c r="F5" s="10"/>
      <c r="G5" s="10"/>
      <c r="H5" s="10"/>
      <c r="I5" s="10"/>
      <c r="J5" s="10"/>
    </row>
    <row r="6" spans="1:10" x14ac:dyDescent="0.2">
      <c r="A6" s="29" t="s">
        <v>1058</v>
      </c>
      <c r="B6" s="82">
        <v>220.36</v>
      </c>
      <c r="C6" s="10"/>
      <c r="E6" s="10"/>
      <c r="F6" s="10"/>
      <c r="G6" s="10"/>
      <c r="H6" s="10"/>
      <c r="I6" s="10"/>
      <c r="J6" s="10"/>
    </row>
    <row r="7" spans="1:10" x14ac:dyDescent="0.2">
      <c r="A7" s="29" t="s">
        <v>1057</v>
      </c>
      <c r="B7" s="10"/>
      <c r="C7" s="112">
        <f>B4-B5+B6</f>
        <v>48891.05</v>
      </c>
    </row>
    <row r="8" spans="1:10" x14ac:dyDescent="0.2">
      <c r="B8" s="10"/>
      <c r="C8" s="10"/>
    </row>
    <row r="9" spans="1:10" x14ac:dyDescent="0.2">
      <c r="A9" s="29"/>
      <c r="B9" s="10"/>
      <c r="C9" s="10"/>
    </row>
    <row r="10" spans="1:10" x14ac:dyDescent="0.2">
      <c r="B10" s="10"/>
      <c r="C10" s="10"/>
    </row>
    <row r="11" spans="1:10" x14ac:dyDescent="0.2">
      <c r="A11" s="29" t="s">
        <v>1059</v>
      </c>
      <c r="B11" s="10"/>
      <c r="C11" s="10"/>
    </row>
    <row r="12" spans="1:10" x14ac:dyDescent="0.2">
      <c r="A12" s="29"/>
      <c r="B12" s="16"/>
      <c r="C12" s="10"/>
    </row>
    <row r="13" spans="1:10" x14ac:dyDescent="0.2">
      <c r="B13" s="16"/>
      <c r="C13" s="10"/>
    </row>
    <row r="14" spans="1:10" x14ac:dyDescent="0.2">
      <c r="B14" s="10"/>
      <c r="C14" s="10"/>
    </row>
  </sheetData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0"/>
  <sheetViews>
    <sheetView topLeftCell="A28" zoomScaleNormal="100" workbookViewId="0">
      <selection activeCell="C52" sqref="C52"/>
    </sheetView>
  </sheetViews>
  <sheetFormatPr defaultRowHeight="12.75" x14ac:dyDescent="0.2"/>
  <cols>
    <col min="1" max="1" width="37.42578125" bestFit="1" customWidth="1"/>
    <col min="3" max="4" width="11.7109375" customWidth="1"/>
    <col min="5" max="6" width="14" bestFit="1" customWidth="1"/>
    <col min="7" max="9" width="11.7109375" customWidth="1"/>
  </cols>
  <sheetData>
    <row r="1" spans="1:9" ht="15.75" x14ac:dyDescent="0.25">
      <c r="A1" s="14" t="s">
        <v>572</v>
      </c>
      <c r="C1" s="1">
        <v>2015</v>
      </c>
      <c r="D1" s="51">
        <v>2014</v>
      </c>
      <c r="E1" s="51">
        <v>2014</v>
      </c>
      <c r="F1" s="51">
        <v>2013</v>
      </c>
      <c r="G1" s="51">
        <v>2012</v>
      </c>
      <c r="H1" s="51">
        <v>2011</v>
      </c>
      <c r="I1" s="17">
        <v>2010</v>
      </c>
    </row>
    <row r="2" spans="1:9" x14ac:dyDescent="0.2">
      <c r="C2" s="1" t="s">
        <v>596</v>
      </c>
      <c r="D2" s="51" t="s">
        <v>1076</v>
      </c>
      <c r="E2" s="51" t="s">
        <v>596</v>
      </c>
      <c r="F2" s="51" t="s">
        <v>597</v>
      </c>
      <c r="G2" s="51" t="s">
        <v>597</v>
      </c>
      <c r="H2" s="51" t="s">
        <v>597</v>
      </c>
      <c r="I2" s="17" t="s">
        <v>597</v>
      </c>
    </row>
    <row r="3" spans="1:9" x14ac:dyDescent="0.2">
      <c r="A3" t="s">
        <v>554</v>
      </c>
      <c r="B3">
        <v>30100</v>
      </c>
      <c r="C3" s="10">
        <f>'BUDGET SUMMARY'!A6</f>
        <v>346427</v>
      </c>
      <c r="D3" s="10">
        <v>230738.37</v>
      </c>
      <c r="E3" s="10">
        <f>SUM('BUDGET SUMMARY'!A6)</f>
        <v>346427</v>
      </c>
      <c r="F3" s="10">
        <v>381220.76</v>
      </c>
      <c r="G3" s="57">
        <v>382654</v>
      </c>
      <c r="H3" s="57">
        <f>298131+19087+38+44</f>
        <v>317300</v>
      </c>
      <c r="I3" s="57">
        <f>292940+21452+19085+3+21+7+93</f>
        <v>333601</v>
      </c>
    </row>
    <row r="4" spans="1:9" x14ac:dyDescent="0.2">
      <c r="A4" s="29" t="s">
        <v>235</v>
      </c>
      <c r="C4" s="10">
        <v>13000</v>
      </c>
      <c r="D4" s="10">
        <v>0</v>
      </c>
      <c r="E4" s="10">
        <v>11400</v>
      </c>
      <c r="F4" s="10"/>
      <c r="G4" s="57"/>
      <c r="H4" s="57"/>
      <c r="I4" s="57"/>
    </row>
    <row r="5" spans="1:9" x14ac:dyDescent="0.2">
      <c r="B5" s="126" t="s">
        <v>919</v>
      </c>
      <c r="C5" s="112">
        <f t="shared" ref="C5:I5" si="0">SUM(C3:C4)</f>
        <v>359427</v>
      </c>
      <c r="D5" s="10">
        <f t="shared" si="0"/>
        <v>230738.37</v>
      </c>
      <c r="E5" s="10">
        <f t="shared" si="0"/>
        <v>357827</v>
      </c>
      <c r="F5" s="10">
        <f t="shared" si="0"/>
        <v>381220.76</v>
      </c>
      <c r="G5" s="57">
        <f t="shared" si="0"/>
        <v>382654</v>
      </c>
      <c r="H5" s="57">
        <f t="shared" si="0"/>
        <v>317300</v>
      </c>
      <c r="I5" s="57">
        <f t="shared" si="0"/>
        <v>333601</v>
      </c>
    </row>
    <row r="6" spans="1:9" x14ac:dyDescent="0.2">
      <c r="B6" s="126"/>
      <c r="C6" s="112"/>
      <c r="D6" s="10"/>
      <c r="E6" s="10"/>
      <c r="F6" s="10"/>
      <c r="G6" s="57"/>
      <c r="H6" s="57"/>
      <c r="I6" s="57"/>
    </row>
    <row r="7" spans="1:9" x14ac:dyDescent="0.2">
      <c r="C7" s="10"/>
      <c r="D7" s="10"/>
      <c r="E7" s="10"/>
      <c r="F7" s="10"/>
      <c r="G7" s="57"/>
      <c r="H7" s="57"/>
      <c r="I7" s="57"/>
    </row>
    <row r="8" spans="1:9" x14ac:dyDescent="0.2">
      <c r="A8" t="s">
        <v>555</v>
      </c>
      <c r="B8">
        <v>30102</v>
      </c>
      <c r="C8" s="10">
        <v>416552</v>
      </c>
      <c r="D8" s="10">
        <v>205686</v>
      </c>
      <c r="E8" s="10">
        <v>411372</v>
      </c>
      <c r="F8" s="10">
        <v>367822</v>
      </c>
      <c r="G8" s="10">
        <v>367822</v>
      </c>
      <c r="H8" s="10">
        <v>390314</v>
      </c>
      <c r="I8" s="10">
        <v>367822</v>
      </c>
    </row>
    <row r="9" spans="1:9" x14ac:dyDescent="0.2">
      <c r="B9" s="126" t="s">
        <v>919</v>
      </c>
      <c r="C9" s="112">
        <f t="shared" ref="C9:I9" si="1">SUM(C8)</f>
        <v>416552</v>
      </c>
      <c r="D9" s="10">
        <f t="shared" si="1"/>
        <v>205686</v>
      </c>
      <c r="E9" s="10">
        <f t="shared" si="1"/>
        <v>411372</v>
      </c>
      <c r="F9" s="10">
        <f t="shared" si="1"/>
        <v>367822</v>
      </c>
      <c r="G9" s="10">
        <f t="shared" si="1"/>
        <v>367822</v>
      </c>
      <c r="H9" s="10">
        <f t="shared" si="1"/>
        <v>390314</v>
      </c>
      <c r="I9" s="10">
        <f t="shared" si="1"/>
        <v>367822</v>
      </c>
    </row>
    <row r="10" spans="1:9" x14ac:dyDescent="0.2">
      <c r="C10" s="10"/>
      <c r="D10" s="10"/>
      <c r="E10" s="10"/>
      <c r="F10" s="10"/>
      <c r="G10" s="10"/>
      <c r="H10" s="10"/>
      <c r="I10" s="10"/>
    </row>
    <row r="11" spans="1:9" x14ac:dyDescent="0.2">
      <c r="C11" s="10"/>
      <c r="D11" s="10"/>
      <c r="E11" s="10"/>
      <c r="F11" s="10"/>
      <c r="G11" s="10"/>
      <c r="H11" s="10"/>
      <c r="I11" s="10"/>
    </row>
    <row r="12" spans="1:9" x14ac:dyDescent="0.2">
      <c r="A12" t="s">
        <v>694</v>
      </c>
      <c r="B12">
        <v>30302</v>
      </c>
      <c r="C12" s="10">
        <v>0</v>
      </c>
      <c r="D12" s="10">
        <v>0</v>
      </c>
      <c r="E12" s="10"/>
      <c r="F12" s="10">
        <v>0</v>
      </c>
      <c r="G12" s="10">
        <v>0</v>
      </c>
      <c r="H12" s="10">
        <v>0</v>
      </c>
      <c r="I12" s="10">
        <v>10911</v>
      </c>
    </row>
    <row r="13" spans="1:9" x14ac:dyDescent="0.2">
      <c r="A13" t="s">
        <v>808</v>
      </c>
      <c r="B13">
        <v>30500</v>
      </c>
      <c r="C13" s="10">
        <v>0</v>
      </c>
      <c r="D13" s="10">
        <v>0</v>
      </c>
      <c r="E13" s="10">
        <v>0</v>
      </c>
      <c r="F13" s="10">
        <v>0</v>
      </c>
      <c r="G13" s="10">
        <v>38</v>
      </c>
      <c r="H13" s="10">
        <v>0</v>
      </c>
      <c r="I13" s="10">
        <v>0</v>
      </c>
    </row>
    <row r="14" spans="1:9" x14ac:dyDescent="0.2">
      <c r="A14" t="s">
        <v>580</v>
      </c>
      <c r="B14">
        <v>30600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</row>
    <row r="15" spans="1:9" x14ac:dyDescent="0.2">
      <c r="A15" s="13" t="s">
        <v>674</v>
      </c>
      <c r="B15">
        <v>30913</v>
      </c>
      <c r="C15" s="10">
        <v>1290</v>
      </c>
      <c r="D15" s="10">
        <v>645</v>
      </c>
      <c r="E15" s="10">
        <v>1290</v>
      </c>
      <c r="F15" s="10">
        <v>1290</v>
      </c>
      <c r="G15" s="10">
        <v>1290</v>
      </c>
      <c r="H15" s="10">
        <v>645</v>
      </c>
      <c r="I15" s="10">
        <v>1290</v>
      </c>
    </row>
    <row r="16" spans="1:9" x14ac:dyDescent="0.2">
      <c r="A16" s="29" t="s">
        <v>810</v>
      </c>
      <c r="B16">
        <v>31005</v>
      </c>
      <c r="C16" s="10">
        <v>0</v>
      </c>
      <c r="D16" s="10">
        <v>0</v>
      </c>
      <c r="E16" s="10">
        <v>0</v>
      </c>
      <c r="F16" s="10">
        <v>0</v>
      </c>
      <c r="G16" s="10">
        <v>104</v>
      </c>
      <c r="H16" s="10">
        <v>0</v>
      </c>
      <c r="I16" s="10">
        <v>0</v>
      </c>
    </row>
    <row r="17" spans="1:9" x14ac:dyDescent="0.2">
      <c r="A17" s="29" t="s">
        <v>809</v>
      </c>
      <c r="B17">
        <v>31100</v>
      </c>
      <c r="C17" s="10">
        <v>0</v>
      </c>
      <c r="D17" s="10">
        <v>0</v>
      </c>
      <c r="E17" s="10">
        <v>0</v>
      </c>
      <c r="F17" s="10">
        <v>0</v>
      </c>
      <c r="G17" s="10">
        <v>75</v>
      </c>
      <c r="H17" s="10">
        <v>0</v>
      </c>
      <c r="I17" s="10">
        <v>0</v>
      </c>
    </row>
    <row r="18" spans="1:9" x14ac:dyDescent="0.2">
      <c r="A18" t="s">
        <v>556</v>
      </c>
      <c r="B18">
        <v>31400</v>
      </c>
      <c r="C18" s="10">
        <v>1800</v>
      </c>
      <c r="D18" s="10">
        <v>120</v>
      </c>
      <c r="E18" s="10">
        <v>1800</v>
      </c>
      <c r="F18" s="10">
        <v>1500</v>
      </c>
      <c r="G18" s="10">
        <v>1290</v>
      </c>
      <c r="H18" s="10">
        <f>1025+200</f>
        <v>1225</v>
      </c>
      <c r="I18" s="10">
        <v>700</v>
      </c>
    </row>
    <row r="19" spans="1:9" x14ac:dyDescent="0.2">
      <c r="A19" t="s">
        <v>811</v>
      </c>
      <c r="B19">
        <v>31500</v>
      </c>
      <c r="C19" s="10">
        <v>600</v>
      </c>
      <c r="D19" s="10">
        <v>0</v>
      </c>
      <c r="E19" s="10">
        <v>600</v>
      </c>
      <c r="F19" s="10">
        <v>600</v>
      </c>
      <c r="G19" s="10">
        <v>700</v>
      </c>
      <c r="H19" s="10">
        <v>0</v>
      </c>
      <c r="I19" s="10">
        <v>0</v>
      </c>
    </row>
    <row r="20" spans="1:9" x14ac:dyDescent="0.2">
      <c r="A20" t="s">
        <v>557</v>
      </c>
      <c r="B20">
        <v>31600</v>
      </c>
      <c r="C20" s="10">
        <v>500</v>
      </c>
      <c r="D20" s="10">
        <v>3600</v>
      </c>
      <c r="E20" s="10">
        <v>500</v>
      </c>
      <c r="F20" s="10">
        <v>1050</v>
      </c>
      <c r="G20" s="10">
        <v>1025</v>
      </c>
      <c r="H20" s="10">
        <v>850</v>
      </c>
      <c r="I20" s="10">
        <v>425</v>
      </c>
    </row>
    <row r="21" spans="1:9" x14ac:dyDescent="0.2">
      <c r="A21" t="s">
        <v>558</v>
      </c>
      <c r="B21">
        <v>31700</v>
      </c>
      <c r="C21" s="10">
        <v>0</v>
      </c>
      <c r="D21" s="10">
        <v>0</v>
      </c>
      <c r="E21" s="10">
        <v>0</v>
      </c>
      <c r="F21" s="10">
        <v>200</v>
      </c>
      <c r="G21" s="10">
        <v>50</v>
      </c>
      <c r="H21" s="10">
        <v>20</v>
      </c>
      <c r="I21" s="10">
        <f>100+85+200</f>
        <v>385</v>
      </c>
    </row>
    <row r="22" spans="1:9" x14ac:dyDescent="0.2">
      <c r="A22" t="s">
        <v>559</v>
      </c>
      <c r="B22">
        <v>31800</v>
      </c>
      <c r="C22" s="10">
        <v>850</v>
      </c>
      <c r="D22" s="10">
        <v>880</v>
      </c>
      <c r="E22" s="10">
        <v>850</v>
      </c>
      <c r="F22" s="10">
        <v>1166</v>
      </c>
      <c r="G22" s="41">
        <v>1158</v>
      </c>
      <c r="H22" s="41">
        <v>842</v>
      </c>
      <c r="I22" s="41">
        <v>900</v>
      </c>
    </row>
    <row r="23" spans="1:9" x14ac:dyDescent="0.2">
      <c r="A23" t="s">
        <v>560</v>
      </c>
      <c r="B23">
        <v>32022</v>
      </c>
      <c r="C23" s="10">
        <v>0</v>
      </c>
      <c r="D23" s="10">
        <v>0</v>
      </c>
      <c r="E23" s="10">
        <v>0</v>
      </c>
      <c r="F23" s="10">
        <v>0</v>
      </c>
      <c r="G23" s="42">
        <v>0</v>
      </c>
      <c r="H23" s="42">
        <v>0</v>
      </c>
      <c r="I23" s="42">
        <v>0</v>
      </c>
    </row>
    <row r="24" spans="1:9" x14ac:dyDescent="0.2">
      <c r="A24" s="13" t="s">
        <v>681</v>
      </c>
      <c r="B24">
        <v>32100</v>
      </c>
      <c r="C24" s="10">
        <v>0</v>
      </c>
      <c r="D24" s="10">
        <v>0</v>
      </c>
      <c r="E24" s="10">
        <v>0</v>
      </c>
      <c r="F24" s="10">
        <v>0</v>
      </c>
      <c r="G24" s="42">
        <v>0</v>
      </c>
      <c r="H24" s="42">
        <v>0</v>
      </c>
      <c r="I24" s="42">
        <v>0</v>
      </c>
    </row>
    <row r="25" spans="1:9" x14ac:dyDescent="0.2">
      <c r="A25" t="s">
        <v>561</v>
      </c>
      <c r="B25">
        <v>32300</v>
      </c>
      <c r="C25" s="10">
        <v>0</v>
      </c>
      <c r="D25" s="10">
        <v>1400</v>
      </c>
      <c r="E25" s="10">
        <v>0</v>
      </c>
      <c r="F25" s="10">
        <v>0</v>
      </c>
      <c r="G25" s="42">
        <v>0</v>
      </c>
      <c r="H25" s="42">
        <v>0</v>
      </c>
      <c r="I25" s="42">
        <f>2430+1500</f>
        <v>3930</v>
      </c>
    </row>
    <row r="26" spans="1:9" x14ac:dyDescent="0.2">
      <c r="A26" t="s">
        <v>562</v>
      </c>
      <c r="B26">
        <v>32500</v>
      </c>
      <c r="C26" s="10">
        <v>15000</v>
      </c>
      <c r="D26" s="10">
        <v>11847.09</v>
      </c>
      <c r="E26" s="10">
        <v>15000</v>
      </c>
      <c r="F26" s="10">
        <v>7238.44</v>
      </c>
      <c r="G26" s="42">
        <v>12406</v>
      </c>
      <c r="H26" s="42">
        <v>13146</v>
      </c>
      <c r="I26" s="42">
        <v>12965</v>
      </c>
    </row>
    <row r="27" spans="1:9" x14ac:dyDescent="0.2">
      <c r="A27" t="s">
        <v>563</v>
      </c>
      <c r="B27">
        <v>32600</v>
      </c>
      <c r="C27" s="10"/>
      <c r="D27" s="10">
        <v>0</v>
      </c>
      <c r="E27" s="10"/>
      <c r="F27" s="10">
        <v>0</v>
      </c>
      <c r="G27" s="42">
        <v>0</v>
      </c>
      <c r="H27" s="42">
        <v>0</v>
      </c>
      <c r="I27" s="42">
        <v>0</v>
      </c>
    </row>
    <row r="28" spans="1:9" x14ac:dyDescent="0.2">
      <c r="A28" s="29" t="s">
        <v>929</v>
      </c>
      <c r="B28">
        <v>32700</v>
      </c>
      <c r="C28" s="10">
        <v>2000</v>
      </c>
      <c r="D28" s="10">
        <v>1878.62</v>
      </c>
      <c r="E28" s="10">
        <v>2000</v>
      </c>
      <c r="F28" s="10">
        <v>1941.75</v>
      </c>
      <c r="G28" s="42">
        <v>-24218</v>
      </c>
      <c r="H28" s="42">
        <v>-221</v>
      </c>
      <c r="I28" s="42">
        <v>368</v>
      </c>
    </row>
    <row r="29" spans="1:9" x14ac:dyDescent="0.2">
      <c r="A29" t="s">
        <v>812</v>
      </c>
      <c r="B29">
        <v>32900</v>
      </c>
      <c r="C29" s="10">
        <v>0</v>
      </c>
      <c r="D29" s="10">
        <v>0</v>
      </c>
      <c r="E29" s="10">
        <v>0</v>
      </c>
      <c r="F29" s="10">
        <v>517.49</v>
      </c>
      <c r="G29" s="42">
        <v>2314</v>
      </c>
      <c r="H29" s="42">
        <v>0</v>
      </c>
      <c r="I29" s="42">
        <v>0</v>
      </c>
    </row>
    <row r="30" spans="1:9" x14ac:dyDescent="0.2">
      <c r="A30" t="s">
        <v>568</v>
      </c>
      <c r="B30">
        <v>33100</v>
      </c>
      <c r="C30" s="10">
        <v>65000</v>
      </c>
      <c r="D30" s="10">
        <v>62127.77</v>
      </c>
      <c r="E30" s="10">
        <v>65000</v>
      </c>
      <c r="F30" s="10">
        <f>2812.75+8495.94+19069.01+2261.16</f>
        <v>32638.859999999997</v>
      </c>
      <c r="G30" s="42">
        <v>74797</v>
      </c>
      <c r="H30" s="42">
        <f>20483+12501+22549+14741+15</f>
        <v>70289</v>
      </c>
      <c r="I30" s="42">
        <f>14402+15482+25877+10754</f>
        <v>66515</v>
      </c>
    </row>
    <row r="31" spans="1:9" x14ac:dyDescent="0.2">
      <c r="A31" s="13" t="s">
        <v>675</v>
      </c>
      <c r="B31">
        <v>33200</v>
      </c>
      <c r="C31" s="129">
        <v>3000</v>
      </c>
      <c r="D31" s="10">
        <v>2915</v>
      </c>
      <c r="E31" s="10">
        <v>2500</v>
      </c>
      <c r="F31" s="10">
        <v>2538</v>
      </c>
      <c r="G31" s="41">
        <v>3490</v>
      </c>
      <c r="H31" s="41">
        <f>10706-25</f>
        <v>10681</v>
      </c>
      <c r="I31" s="41">
        <f>23+44+6346</f>
        <v>6413</v>
      </c>
    </row>
    <row r="32" spans="1:9" x14ac:dyDescent="0.2">
      <c r="A32" t="s">
        <v>564</v>
      </c>
      <c r="B32">
        <v>33201</v>
      </c>
      <c r="C32" s="10">
        <v>1000</v>
      </c>
      <c r="D32" s="10">
        <v>525.87</v>
      </c>
      <c r="E32" s="10">
        <v>1000</v>
      </c>
      <c r="F32" s="10">
        <v>1579.11</v>
      </c>
      <c r="G32" s="42">
        <v>968</v>
      </c>
      <c r="H32" s="42">
        <v>939</v>
      </c>
      <c r="I32" s="42">
        <f>208+182</f>
        <v>390</v>
      </c>
    </row>
    <row r="33" spans="1:9" x14ac:dyDescent="0.2">
      <c r="A33" t="s">
        <v>565</v>
      </c>
      <c r="B33">
        <v>33300</v>
      </c>
      <c r="C33" s="129">
        <v>20000</v>
      </c>
      <c r="D33" s="10">
        <v>20474.95</v>
      </c>
      <c r="E33" s="10">
        <v>15000</v>
      </c>
      <c r="F33" s="10">
        <v>22588.12</v>
      </c>
      <c r="G33" s="42">
        <v>16883</v>
      </c>
      <c r="H33" s="42">
        <f>25+14025</f>
        <v>14050</v>
      </c>
      <c r="I33" s="42">
        <v>9729</v>
      </c>
    </row>
    <row r="34" spans="1:9" x14ac:dyDescent="0.2">
      <c r="A34" t="s">
        <v>566</v>
      </c>
      <c r="B34">
        <v>34100</v>
      </c>
      <c r="C34" s="129">
        <v>5000</v>
      </c>
      <c r="D34" s="10">
        <v>5628.39</v>
      </c>
      <c r="E34" s="10">
        <v>3500</v>
      </c>
      <c r="F34" s="10">
        <v>5947.65</v>
      </c>
      <c r="G34" s="42">
        <v>3449</v>
      </c>
      <c r="H34" s="42">
        <v>3536</v>
      </c>
      <c r="I34" s="42">
        <v>4116</v>
      </c>
    </row>
    <row r="35" spans="1:9" x14ac:dyDescent="0.2">
      <c r="A35" t="s">
        <v>567</v>
      </c>
      <c r="B35">
        <v>35100</v>
      </c>
      <c r="C35" s="10">
        <v>0</v>
      </c>
      <c r="D35" s="10">
        <v>0</v>
      </c>
      <c r="E35" s="10">
        <v>0</v>
      </c>
      <c r="F35" s="10">
        <v>0</v>
      </c>
      <c r="G35" s="42">
        <v>0</v>
      </c>
      <c r="H35" s="42">
        <v>0</v>
      </c>
      <c r="I35" s="42">
        <v>0</v>
      </c>
    </row>
    <row r="36" spans="1:9" x14ac:dyDescent="0.2">
      <c r="A36" t="s">
        <v>24</v>
      </c>
      <c r="B36">
        <v>35500</v>
      </c>
      <c r="C36" s="129">
        <v>400</v>
      </c>
      <c r="D36" s="10">
        <v>386.89</v>
      </c>
      <c r="E36" s="10">
        <v>250</v>
      </c>
      <c r="F36" s="10">
        <v>417.17</v>
      </c>
      <c r="G36" s="42">
        <v>434</v>
      </c>
      <c r="H36" s="42">
        <f>329+23</f>
        <v>352</v>
      </c>
      <c r="I36" s="42">
        <f>262+9</f>
        <v>271</v>
      </c>
    </row>
    <row r="37" spans="1:9" x14ac:dyDescent="0.2">
      <c r="A37" t="s">
        <v>25</v>
      </c>
      <c r="B37">
        <v>36100</v>
      </c>
      <c r="C37" s="10">
        <v>1500</v>
      </c>
      <c r="D37" s="10">
        <v>2051.87</v>
      </c>
      <c r="E37" s="10">
        <v>1500</v>
      </c>
      <c r="F37" s="10">
        <v>1150.9100000000001</v>
      </c>
      <c r="G37" s="42">
        <v>1407</v>
      </c>
      <c r="H37" s="42">
        <v>2542</v>
      </c>
      <c r="I37" s="42">
        <v>6628</v>
      </c>
    </row>
    <row r="38" spans="1:9" x14ac:dyDescent="0.2">
      <c r="A38" t="s">
        <v>26</v>
      </c>
      <c r="B38">
        <v>36200</v>
      </c>
      <c r="C38" s="129">
        <v>10000</v>
      </c>
      <c r="D38" s="10">
        <v>10112.6</v>
      </c>
      <c r="E38" s="10">
        <v>8400</v>
      </c>
      <c r="F38" s="10">
        <v>10320.64</v>
      </c>
      <c r="G38" s="41">
        <v>10862</v>
      </c>
      <c r="H38" s="41">
        <f>6936+1383</f>
        <v>8319</v>
      </c>
      <c r="I38" s="41">
        <f>20085+3116</f>
        <v>23201</v>
      </c>
    </row>
    <row r="39" spans="1:9" x14ac:dyDescent="0.2">
      <c r="A39" s="29" t="s">
        <v>965</v>
      </c>
      <c r="B39">
        <v>36301</v>
      </c>
      <c r="C39" s="10">
        <v>0</v>
      </c>
      <c r="D39" s="10">
        <v>0</v>
      </c>
      <c r="E39" s="10">
        <v>0</v>
      </c>
      <c r="F39" s="10">
        <v>200</v>
      </c>
      <c r="G39" s="41">
        <v>0</v>
      </c>
      <c r="H39" s="41">
        <v>0</v>
      </c>
      <c r="I39" s="41">
        <v>0</v>
      </c>
    </row>
    <row r="40" spans="1:9" x14ac:dyDescent="0.2">
      <c r="A40" t="s">
        <v>27</v>
      </c>
      <c r="B40">
        <v>36400</v>
      </c>
      <c r="C40" s="10">
        <v>1000</v>
      </c>
      <c r="D40" s="10">
        <v>550</v>
      </c>
      <c r="E40" s="10">
        <v>1000</v>
      </c>
      <c r="F40" s="10">
        <v>780</v>
      </c>
      <c r="G40" s="42">
        <v>1748</v>
      </c>
      <c r="H40" s="42">
        <f>100+304+5194</f>
        <v>5598</v>
      </c>
      <c r="I40" s="42">
        <f>25+150+115+2771</f>
        <v>3061</v>
      </c>
    </row>
    <row r="41" spans="1:9" x14ac:dyDescent="0.2">
      <c r="A41" t="s">
        <v>28</v>
      </c>
      <c r="B41">
        <v>36500</v>
      </c>
      <c r="C41" s="10">
        <v>5000</v>
      </c>
      <c r="D41" s="10">
        <v>4852.5</v>
      </c>
      <c r="E41" s="10">
        <v>5000</v>
      </c>
      <c r="F41" s="10">
        <v>5194.25</v>
      </c>
      <c r="G41" s="42">
        <v>7025</v>
      </c>
      <c r="H41" s="42">
        <f>544+124+60+1660+2725+100+19</f>
        <v>5232</v>
      </c>
      <c r="I41" s="42">
        <f>646+150+77+25+2027+6018+50+140+514</f>
        <v>9647</v>
      </c>
    </row>
    <row r="42" spans="1:9" x14ac:dyDescent="0.2">
      <c r="A42" t="s">
        <v>912</v>
      </c>
      <c r="B42">
        <v>36503</v>
      </c>
      <c r="C42" s="10">
        <v>13000</v>
      </c>
      <c r="D42" s="10">
        <v>11488</v>
      </c>
      <c r="E42" s="10">
        <v>13000</v>
      </c>
      <c r="F42" s="10">
        <v>13794</v>
      </c>
      <c r="G42" s="42">
        <v>17507</v>
      </c>
      <c r="H42" s="42">
        <v>12665</v>
      </c>
      <c r="I42" s="42">
        <v>15962</v>
      </c>
    </row>
    <row r="43" spans="1:9" x14ac:dyDescent="0.2">
      <c r="A43" t="s">
        <v>29</v>
      </c>
      <c r="B43">
        <v>36504</v>
      </c>
      <c r="C43" s="10">
        <v>0</v>
      </c>
      <c r="D43" s="10">
        <v>0</v>
      </c>
      <c r="E43" s="10">
        <v>0</v>
      </c>
      <c r="F43" s="10">
        <v>0</v>
      </c>
      <c r="G43" s="41">
        <v>0</v>
      </c>
      <c r="H43" s="41">
        <v>0</v>
      </c>
      <c r="I43" s="41">
        <v>0</v>
      </c>
    </row>
    <row r="44" spans="1:9" x14ac:dyDescent="0.2">
      <c r="A44" t="s">
        <v>913</v>
      </c>
      <c r="B44">
        <v>36505</v>
      </c>
      <c r="C44" s="10">
        <v>0</v>
      </c>
      <c r="D44" s="10">
        <v>0</v>
      </c>
      <c r="E44" s="10">
        <v>0</v>
      </c>
      <c r="F44" s="10">
        <v>0</v>
      </c>
      <c r="G44" s="42">
        <v>0</v>
      </c>
      <c r="H44" s="42">
        <v>0</v>
      </c>
      <c r="I44" s="42">
        <v>0</v>
      </c>
    </row>
    <row r="45" spans="1:9" x14ac:dyDescent="0.2">
      <c r="A45" t="s">
        <v>30</v>
      </c>
      <c r="B45">
        <v>36506</v>
      </c>
      <c r="C45" s="10">
        <v>5000</v>
      </c>
      <c r="D45" s="10">
        <v>0</v>
      </c>
      <c r="E45" s="10">
        <v>5000</v>
      </c>
      <c r="F45" s="10">
        <v>74726.600000000006</v>
      </c>
      <c r="G45" s="42">
        <v>5292</v>
      </c>
      <c r="H45" s="42">
        <v>0</v>
      </c>
      <c r="I45" s="42">
        <v>12324</v>
      </c>
    </row>
    <row r="46" spans="1:9" x14ac:dyDescent="0.2">
      <c r="A46" t="s">
        <v>31</v>
      </c>
      <c r="B46">
        <v>36800</v>
      </c>
      <c r="C46" s="10">
        <v>500</v>
      </c>
      <c r="D46" s="10">
        <v>1044.5999999999999</v>
      </c>
      <c r="E46" s="10">
        <v>500</v>
      </c>
      <c r="F46" s="10">
        <v>134.29</v>
      </c>
      <c r="G46" s="42">
        <v>1220</v>
      </c>
      <c r="H46" s="42">
        <v>897</v>
      </c>
      <c r="I46" s="42">
        <v>922</v>
      </c>
    </row>
    <row r="47" spans="1:9" x14ac:dyDescent="0.2">
      <c r="A47" t="s">
        <v>168</v>
      </c>
      <c r="B47">
        <v>37100</v>
      </c>
      <c r="C47" s="10">
        <v>0</v>
      </c>
      <c r="D47" s="10">
        <v>0</v>
      </c>
      <c r="E47" s="10">
        <v>0</v>
      </c>
      <c r="F47" s="10">
        <v>0</v>
      </c>
      <c r="G47" s="42">
        <v>0</v>
      </c>
      <c r="H47" s="42">
        <v>0</v>
      </c>
      <c r="I47" s="42">
        <v>0</v>
      </c>
    </row>
    <row r="48" spans="1:9" x14ac:dyDescent="0.2">
      <c r="A48" t="s">
        <v>169</v>
      </c>
      <c r="B48">
        <v>37200</v>
      </c>
      <c r="C48" s="10">
        <v>0</v>
      </c>
      <c r="D48" s="10">
        <v>0</v>
      </c>
      <c r="E48" s="10">
        <v>0</v>
      </c>
      <c r="F48" s="10">
        <v>0</v>
      </c>
      <c r="G48" s="42">
        <v>0</v>
      </c>
      <c r="H48" s="42">
        <v>221</v>
      </c>
      <c r="I48" s="42">
        <v>0</v>
      </c>
    </row>
    <row r="49" spans="1:9" x14ac:dyDescent="0.2">
      <c r="A49" t="s">
        <v>170</v>
      </c>
      <c r="B49">
        <v>37300</v>
      </c>
      <c r="C49" s="10">
        <v>5000</v>
      </c>
      <c r="D49" s="10">
        <v>12007.53</v>
      </c>
      <c r="E49" s="10">
        <v>5000</v>
      </c>
      <c r="F49" s="10">
        <v>9619.35</v>
      </c>
      <c r="G49" s="42">
        <v>25582</v>
      </c>
      <c r="H49" s="42">
        <f>3200+744+500</f>
        <v>4444</v>
      </c>
      <c r="I49" s="42">
        <f>3936+254+400</f>
        <v>4590</v>
      </c>
    </row>
    <row r="50" spans="1:9" x14ac:dyDescent="0.2">
      <c r="A50" t="s">
        <v>813</v>
      </c>
      <c r="B50">
        <v>37400</v>
      </c>
      <c r="C50" s="10">
        <v>0</v>
      </c>
      <c r="D50" s="10">
        <v>0</v>
      </c>
      <c r="E50" s="10">
        <v>0</v>
      </c>
      <c r="F50" s="10">
        <v>450</v>
      </c>
      <c r="G50" s="42">
        <v>350</v>
      </c>
      <c r="H50" s="42">
        <v>0</v>
      </c>
      <c r="I50" s="42">
        <v>0</v>
      </c>
    </row>
    <row r="51" spans="1:9" x14ac:dyDescent="0.2">
      <c r="B51" s="126" t="s">
        <v>919</v>
      </c>
      <c r="C51" s="112">
        <f t="shared" ref="C51:I51" si="2">SUM(C12:C50)</f>
        <v>157440</v>
      </c>
      <c r="D51" s="10">
        <f t="shared" si="2"/>
        <v>154536.68</v>
      </c>
      <c r="E51" s="10">
        <f t="shared" si="2"/>
        <v>148690</v>
      </c>
      <c r="F51" s="10">
        <f t="shared" si="2"/>
        <v>197582.63</v>
      </c>
      <c r="G51" s="42">
        <f t="shared" si="2"/>
        <v>167246</v>
      </c>
      <c r="H51" s="42">
        <f t="shared" si="2"/>
        <v>156272</v>
      </c>
      <c r="I51" s="42">
        <f t="shared" si="2"/>
        <v>195643</v>
      </c>
    </row>
    <row r="52" spans="1:9" x14ac:dyDescent="0.2">
      <c r="C52" s="10"/>
      <c r="D52" s="10"/>
      <c r="E52" s="10"/>
      <c r="F52" s="10"/>
      <c r="G52" s="42"/>
      <c r="H52" s="42"/>
      <c r="I52" s="42"/>
    </row>
    <row r="53" spans="1:9" x14ac:dyDescent="0.2">
      <c r="C53" s="10"/>
      <c r="D53" s="10"/>
      <c r="E53" s="10"/>
      <c r="F53" s="10"/>
      <c r="G53" s="42"/>
      <c r="H53" s="42"/>
      <c r="I53" s="42"/>
    </row>
    <row r="54" spans="1:9" x14ac:dyDescent="0.2">
      <c r="C54" s="10"/>
      <c r="D54" s="10"/>
      <c r="E54" s="10"/>
      <c r="F54" s="10"/>
      <c r="G54" s="42"/>
      <c r="H54" s="42"/>
      <c r="I54" s="42"/>
    </row>
    <row r="55" spans="1:9" x14ac:dyDescent="0.2">
      <c r="A55" s="29" t="s">
        <v>879</v>
      </c>
      <c r="B55">
        <v>39000</v>
      </c>
      <c r="C55" s="10">
        <v>143000</v>
      </c>
      <c r="D55" s="10">
        <v>130000</v>
      </c>
      <c r="E55" s="10">
        <v>130000</v>
      </c>
      <c r="F55" s="10">
        <v>130000</v>
      </c>
      <c r="G55" s="42">
        <v>1097000</v>
      </c>
      <c r="H55" s="42">
        <v>110000</v>
      </c>
      <c r="I55" s="42">
        <v>100000</v>
      </c>
    </row>
    <row r="56" spans="1:9" x14ac:dyDescent="0.2">
      <c r="A56" s="29" t="s">
        <v>880</v>
      </c>
      <c r="B56">
        <v>39000</v>
      </c>
      <c r="C56" s="10">
        <v>45000</v>
      </c>
      <c r="D56" s="10">
        <v>44000</v>
      </c>
      <c r="E56" s="10">
        <v>44000</v>
      </c>
      <c r="F56" s="10">
        <v>0</v>
      </c>
      <c r="G56" s="42">
        <v>0</v>
      </c>
      <c r="H56" s="42">
        <v>0</v>
      </c>
      <c r="I56" s="42">
        <v>15000</v>
      </c>
    </row>
    <row r="57" spans="1:9" x14ac:dyDescent="0.2">
      <c r="A57" s="29"/>
      <c r="B57" s="126" t="s">
        <v>919</v>
      </c>
      <c r="C57" s="112">
        <f t="shared" ref="C57:I57" si="3">SUM(C55:C56)</f>
        <v>188000</v>
      </c>
      <c r="D57" s="112">
        <f t="shared" si="3"/>
        <v>174000</v>
      </c>
      <c r="E57" s="112">
        <f t="shared" si="3"/>
        <v>174000</v>
      </c>
      <c r="F57" s="10">
        <f t="shared" si="3"/>
        <v>130000</v>
      </c>
      <c r="G57" s="42">
        <f t="shared" si="3"/>
        <v>1097000</v>
      </c>
      <c r="H57" s="42">
        <f t="shared" si="3"/>
        <v>110000</v>
      </c>
      <c r="I57" s="42">
        <f t="shared" si="3"/>
        <v>115000</v>
      </c>
    </row>
    <row r="58" spans="1:9" x14ac:dyDescent="0.2">
      <c r="A58" s="29"/>
      <c r="C58" s="10"/>
      <c r="D58" s="10"/>
      <c r="E58" s="10"/>
      <c r="F58" s="10"/>
      <c r="G58" s="42"/>
      <c r="H58" s="42"/>
      <c r="I58" s="42"/>
    </row>
    <row r="59" spans="1:9" x14ac:dyDescent="0.2">
      <c r="C59" s="10">
        <f>SUM(C5+C9+C51+C57)</f>
        <v>1121419</v>
      </c>
      <c r="D59" s="10">
        <f t="shared" ref="D59:I59" si="4">SUM(D3:D56)</f>
        <v>1355922.0999999999</v>
      </c>
      <c r="E59" s="10">
        <f t="shared" si="4"/>
        <v>2009778</v>
      </c>
      <c r="F59" s="10">
        <f t="shared" si="4"/>
        <v>2023250.7800000003</v>
      </c>
      <c r="G59" s="41">
        <f t="shared" si="4"/>
        <v>2932444</v>
      </c>
      <c r="H59" s="41">
        <f t="shared" si="4"/>
        <v>1837772</v>
      </c>
      <c r="I59" s="41">
        <f t="shared" si="4"/>
        <v>1909132</v>
      </c>
    </row>
    <row r="60" spans="1:9" x14ac:dyDescent="0.2">
      <c r="A60" s="13"/>
      <c r="C60" s="22"/>
    </row>
  </sheetData>
  <phoneticPr fontId="2" type="noConversion"/>
  <pageMargins left="0.25" right="0.25" top="0.75" bottom="0.75" header="0.3" footer="0.3"/>
  <pageSetup orientation="landscape" r:id="rId1"/>
  <headerFooter alignWithMargins="0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C17" sqref="C17"/>
    </sheetView>
  </sheetViews>
  <sheetFormatPr defaultRowHeight="12.75" x14ac:dyDescent="0.2"/>
  <cols>
    <col min="1" max="1" width="28.5703125" bestFit="1" customWidth="1"/>
    <col min="2" max="2" width="26.5703125" bestFit="1" customWidth="1"/>
    <col min="3" max="3" width="9.7109375" bestFit="1" customWidth="1"/>
  </cols>
  <sheetData>
    <row r="1" spans="1:9" ht="15.75" x14ac:dyDescent="0.25">
      <c r="B1" s="14" t="s">
        <v>995</v>
      </c>
      <c r="C1" s="1"/>
      <c r="D1" s="51"/>
      <c r="E1" s="51"/>
      <c r="F1" s="51"/>
      <c r="G1" s="17"/>
      <c r="H1" s="51"/>
      <c r="I1" s="17"/>
    </row>
    <row r="2" spans="1:9" x14ac:dyDescent="0.2">
      <c r="B2" s="29" t="s">
        <v>996</v>
      </c>
      <c r="C2" s="1"/>
      <c r="D2" s="17"/>
      <c r="E2" s="70"/>
      <c r="F2" s="51"/>
      <c r="G2" s="51"/>
      <c r="H2" s="51"/>
      <c r="I2" s="18"/>
    </row>
    <row r="3" spans="1:9" x14ac:dyDescent="0.2">
      <c r="B3" s="33"/>
      <c r="C3" s="10"/>
      <c r="D3" s="34"/>
      <c r="E3" s="34"/>
      <c r="F3" s="34"/>
      <c r="G3" s="34"/>
      <c r="H3" s="35"/>
      <c r="I3" s="23"/>
    </row>
    <row r="4" spans="1:9" x14ac:dyDescent="0.2">
      <c r="C4" s="10"/>
      <c r="D4" s="17"/>
      <c r="E4" s="17"/>
      <c r="F4" s="17"/>
      <c r="G4" s="17"/>
      <c r="H4" s="1"/>
      <c r="I4" s="18"/>
    </row>
    <row r="5" spans="1:9" x14ac:dyDescent="0.2">
      <c r="A5" s="29" t="s">
        <v>993</v>
      </c>
      <c r="B5" s="72">
        <v>181986.76</v>
      </c>
      <c r="C5" s="10"/>
      <c r="D5" s="10"/>
      <c r="E5" s="10"/>
      <c r="F5" s="10"/>
      <c r="G5" s="10"/>
      <c r="H5" s="10"/>
      <c r="I5" s="10"/>
    </row>
    <row r="6" spans="1:9" x14ac:dyDescent="0.2">
      <c r="A6" s="29" t="s">
        <v>1060</v>
      </c>
      <c r="B6" s="16">
        <v>0</v>
      </c>
      <c r="C6" s="10"/>
      <c r="D6" s="10"/>
      <c r="E6" s="10"/>
      <c r="F6" s="10"/>
      <c r="G6" s="10"/>
      <c r="H6" s="10"/>
      <c r="I6" s="10"/>
    </row>
    <row r="7" spans="1:9" x14ac:dyDescent="0.2">
      <c r="A7" s="29" t="s">
        <v>1061</v>
      </c>
      <c r="B7" s="16">
        <f>965.38-100.83</f>
        <v>864.55</v>
      </c>
      <c r="C7" s="10"/>
      <c r="D7" s="10"/>
      <c r="E7" s="10"/>
      <c r="F7" s="10"/>
      <c r="G7" s="10"/>
      <c r="H7" s="10"/>
      <c r="I7" s="10"/>
    </row>
    <row r="8" spans="1:9" x14ac:dyDescent="0.2">
      <c r="A8" s="29" t="s">
        <v>1062</v>
      </c>
      <c r="B8" s="82">
        <v>50000</v>
      </c>
      <c r="C8" s="10"/>
      <c r="D8" s="10"/>
      <c r="E8" s="10"/>
      <c r="F8" s="10"/>
      <c r="G8" s="10"/>
      <c r="H8" s="10"/>
      <c r="I8" s="10"/>
    </row>
    <row r="9" spans="1:9" x14ac:dyDescent="0.2">
      <c r="A9" s="29" t="s">
        <v>1063</v>
      </c>
      <c r="B9" s="10"/>
      <c r="C9" s="10">
        <f>B5-B6+B7+B8</f>
        <v>232851.31</v>
      </c>
      <c r="D9" s="10"/>
    </row>
    <row r="10" spans="1:9" x14ac:dyDescent="0.2">
      <c r="B10" s="10"/>
      <c r="C10" s="10"/>
      <c r="D10" s="10"/>
    </row>
    <row r="11" spans="1:9" x14ac:dyDescent="0.2">
      <c r="A11" s="29"/>
      <c r="B11" s="10"/>
      <c r="C11" s="10"/>
      <c r="D11" s="10"/>
    </row>
    <row r="12" spans="1:9" x14ac:dyDescent="0.2">
      <c r="B12" s="10"/>
      <c r="C12" s="10"/>
      <c r="D12" s="10"/>
    </row>
    <row r="13" spans="1:9" x14ac:dyDescent="0.2">
      <c r="A13" s="29" t="s">
        <v>1064</v>
      </c>
      <c r="B13" s="10">
        <v>0</v>
      </c>
      <c r="C13" s="10"/>
      <c r="D13" s="10"/>
    </row>
    <row r="14" spans="1:9" x14ac:dyDescent="0.2">
      <c r="A14" s="29" t="s">
        <v>994</v>
      </c>
      <c r="B14" s="82">
        <v>50000</v>
      </c>
      <c r="C14" s="10"/>
      <c r="D14" s="10"/>
    </row>
    <row r="15" spans="1:9" x14ac:dyDescent="0.2">
      <c r="B15" s="16"/>
      <c r="C15" s="10"/>
      <c r="D15" s="10"/>
    </row>
    <row r="16" spans="1:9" x14ac:dyDescent="0.2">
      <c r="B16" s="10"/>
      <c r="C16" s="10">
        <f>SUM(B13:B14)</f>
        <v>50000</v>
      </c>
      <c r="D16" s="10"/>
    </row>
    <row r="17" spans="2:4" x14ac:dyDescent="0.2">
      <c r="B17" s="10"/>
      <c r="C17" s="10"/>
      <c r="D17" s="10"/>
    </row>
    <row r="18" spans="2:4" x14ac:dyDescent="0.2">
      <c r="B18" s="112">
        <v>50000</v>
      </c>
      <c r="C18" s="10" t="s">
        <v>1025</v>
      </c>
      <c r="D18" s="10"/>
    </row>
    <row r="19" spans="2:4" x14ac:dyDescent="0.2">
      <c r="B19" s="10"/>
      <c r="C19" s="10"/>
      <c r="D19" s="10"/>
    </row>
    <row r="20" spans="2:4" x14ac:dyDescent="0.2">
      <c r="B20" s="10"/>
      <c r="C20" s="10"/>
      <c r="D20" s="10"/>
    </row>
    <row r="21" spans="2:4" x14ac:dyDescent="0.2">
      <c r="B21" s="10"/>
      <c r="C21" s="10"/>
      <c r="D21" s="10"/>
    </row>
    <row r="22" spans="2:4" x14ac:dyDescent="0.2">
      <c r="B22" s="10"/>
      <c r="C22" s="10"/>
      <c r="D22" s="10"/>
    </row>
    <row r="23" spans="2:4" x14ac:dyDescent="0.2">
      <c r="B23" s="10"/>
      <c r="C23" s="10"/>
      <c r="D23" s="10"/>
    </row>
  </sheetData>
  <pageMargins left="0.7" right="0.7" top="0.75" bottom="0.75" header="0.3" footer="0.3"/>
  <pageSetup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C8" sqref="C8"/>
    </sheetView>
  </sheetViews>
  <sheetFormatPr defaultRowHeight="12.75" x14ac:dyDescent="0.2"/>
  <cols>
    <col min="1" max="1" width="28.140625" customWidth="1"/>
    <col min="2" max="3" width="11.7109375" customWidth="1"/>
  </cols>
  <sheetData>
    <row r="1" spans="1:3" ht="15.75" x14ac:dyDescent="0.25">
      <c r="B1" s="14" t="s">
        <v>1065</v>
      </c>
      <c r="C1" s="1"/>
    </row>
    <row r="2" spans="1:3" x14ac:dyDescent="0.2">
      <c r="C2" s="1"/>
    </row>
    <row r="3" spans="1:3" x14ac:dyDescent="0.2">
      <c r="B3" s="33"/>
      <c r="C3" s="33"/>
    </row>
    <row r="4" spans="1:3" x14ac:dyDescent="0.2">
      <c r="A4" s="29" t="s">
        <v>993</v>
      </c>
      <c r="B4" s="72">
        <v>158691.70000000001</v>
      </c>
      <c r="C4" s="10"/>
    </row>
    <row r="5" spans="1:3" x14ac:dyDescent="0.2">
      <c r="A5" s="29" t="s">
        <v>1066</v>
      </c>
      <c r="B5" s="16">
        <v>0</v>
      </c>
      <c r="C5" s="10"/>
    </row>
    <row r="6" spans="1:3" x14ac:dyDescent="0.2">
      <c r="A6" s="29" t="s">
        <v>1069</v>
      </c>
      <c r="B6" s="16">
        <v>12423.09</v>
      </c>
      <c r="C6" s="10"/>
    </row>
    <row r="7" spans="1:3" x14ac:dyDescent="0.2">
      <c r="A7" s="29" t="s">
        <v>1067</v>
      </c>
      <c r="B7" s="82">
        <v>627.85</v>
      </c>
      <c r="C7" s="10"/>
    </row>
    <row r="8" spans="1:3" x14ac:dyDescent="0.2">
      <c r="A8" s="29" t="s">
        <v>1063</v>
      </c>
      <c r="B8" s="10"/>
      <c r="C8" s="112">
        <f>SUM(B4:B7)</f>
        <v>171742.64</v>
      </c>
    </row>
    <row r="9" spans="1:3" x14ac:dyDescent="0.2">
      <c r="B9" s="10"/>
      <c r="C9" s="10"/>
    </row>
    <row r="10" spans="1:3" x14ac:dyDescent="0.2">
      <c r="A10" s="29"/>
      <c r="B10" s="10"/>
      <c r="C10" s="10"/>
    </row>
    <row r="11" spans="1:3" x14ac:dyDescent="0.2">
      <c r="B11" s="10"/>
      <c r="C11" s="10"/>
    </row>
    <row r="12" spans="1:3" x14ac:dyDescent="0.2">
      <c r="A12" s="29" t="s">
        <v>1059</v>
      </c>
      <c r="B12" s="10"/>
      <c r="C12" s="10"/>
    </row>
    <row r="13" spans="1:3" x14ac:dyDescent="0.2">
      <c r="A13" s="29"/>
      <c r="B13" s="16"/>
      <c r="C13" s="10"/>
    </row>
  </sheetData>
  <pageMargins left="0.7" right="0.7" top="0.75" bottom="0.75" header="0.3" footer="0.3"/>
  <pageSetup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E22" sqref="E22"/>
    </sheetView>
  </sheetViews>
  <sheetFormatPr defaultRowHeight="12.75" x14ac:dyDescent="0.2"/>
  <cols>
    <col min="1" max="1" width="13.28515625" bestFit="1" customWidth="1"/>
    <col min="2" max="2" width="26.5703125" bestFit="1" customWidth="1"/>
    <col min="3" max="4" width="11.7109375" customWidth="1"/>
  </cols>
  <sheetData>
    <row r="1" spans="1:10" ht="15.75" x14ac:dyDescent="0.25">
      <c r="B1" s="14" t="s">
        <v>992</v>
      </c>
      <c r="C1" s="1">
        <v>2015</v>
      </c>
      <c r="D1" s="51">
        <v>2014</v>
      </c>
      <c r="E1" s="51">
        <v>2014</v>
      </c>
      <c r="F1" s="51">
        <v>2013</v>
      </c>
      <c r="G1" s="51">
        <v>2012</v>
      </c>
      <c r="H1" s="51">
        <v>2011</v>
      </c>
      <c r="I1" s="17">
        <v>2010</v>
      </c>
      <c r="J1" s="51">
        <v>2009</v>
      </c>
    </row>
    <row r="2" spans="1:10" x14ac:dyDescent="0.2">
      <c r="C2" s="1" t="s">
        <v>596</v>
      </c>
      <c r="D2" s="51" t="s">
        <v>1005</v>
      </c>
      <c r="E2" s="51" t="s">
        <v>596</v>
      </c>
      <c r="F2" s="51" t="s">
        <v>597</v>
      </c>
      <c r="G2" s="70" t="s">
        <v>597</v>
      </c>
      <c r="H2" s="51" t="s">
        <v>597</v>
      </c>
      <c r="I2" s="51" t="s">
        <v>782</v>
      </c>
      <c r="J2" s="51" t="s">
        <v>597</v>
      </c>
    </row>
    <row r="3" spans="1:10" x14ac:dyDescent="0.2">
      <c r="B3" s="33"/>
      <c r="C3" s="33"/>
      <c r="D3" s="33"/>
      <c r="E3" s="10"/>
      <c r="F3" s="34"/>
      <c r="G3" s="34"/>
      <c r="H3" s="34"/>
      <c r="I3" s="34"/>
      <c r="J3" s="35"/>
    </row>
    <row r="4" spans="1:10" x14ac:dyDescent="0.2">
      <c r="A4" t="s">
        <v>89</v>
      </c>
      <c r="E4" s="10"/>
      <c r="F4" s="17"/>
      <c r="G4" s="17"/>
      <c r="H4" s="17"/>
      <c r="I4" s="17"/>
      <c r="J4" s="1"/>
    </row>
    <row r="5" spans="1:10" x14ac:dyDescent="0.2">
      <c r="A5" s="29" t="s">
        <v>951</v>
      </c>
      <c r="B5" s="29" t="s">
        <v>697</v>
      </c>
      <c r="C5" s="72">
        <v>20000</v>
      </c>
      <c r="D5" s="72">
        <v>1500</v>
      </c>
      <c r="E5" s="10">
        <v>10000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</row>
    <row r="6" spans="1:10" x14ac:dyDescent="0.2">
      <c r="A6" s="29"/>
      <c r="C6" s="10"/>
      <c r="E6" s="10"/>
      <c r="F6" s="10"/>
      <c r="G6" s="10"/>
      <c r="H6" s="10"/>
      <c r="I6" s="10"/>
      <c r="J6" s="10"/>
    </row>
    <row r="7" spans="1:10" x14ac:dyDescent="0.2">
      <c r="B7" t="s">
        <v>919</v>
      </c>
      <c r="C7" s="10">
        <f>SUM(C5:C6)</f>
        <v>20000</v>
      </c>
      <c r="D7" s="10">
        <v>1500</v>
      </c>
      <c r="E7" s="10">
        <v>10000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</row>
    <row r="8" spans="1:10" x14ac:dyDescent="0.2">
      <c r="C8" s="22"/>
    </row>
  </sheetData>
  <pageMargins left="0.7" right="0.7" top="0.75" bottom="0.75" header="0.3" footer="0.3"/>
  <pageSetup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B5" sqref="B5"/>
    </sheetView>
  </sheetViews>
  <sheetFormatPr defaultRowHeight="12.75" x14ac:dyDescent="0.2"/>
  <cols>
    <col min="1" max="1" width="28.42578125" customWidth="1"/>
    <col min="2" max="2" width="12.7109375" customWidth="1"/>
    <col min="3" max="3" width="11.7109375" customWidth="1"/>
  </cols>
  <sheetData>
    <row r="1" spans="1:3" ht="15.75" x14ac:dyDescent="0.25">
      <c r="B1" s="14" t="s">
        <v>1068</v>
      </c>
      <c r="C1" s="1"/>
    </row>
    <row r="2" spans="1:3" x14ac:dyDescent="0.2">
      <c r="C2" s="1"/>
    </row>
    <row r="3" spans="1:3" x14ac:dyDescent="0.2">
      <c r="B3" s="33"/>
      <c r="C3" s="33"/>
    </row>
    <row r="4" spans="1:3" x14ac:dyDescent="0.2">
      <c r="A4" s="29" t="s">
        <v>993</v>
      </c>
      <c r="B4" s="72">
        <v>88176.18</v>
      </c>
      <c r="C4" s="10"/>
    </row>
    <row r="5" spans="1:3" x14ac:dyDescent="0.2">
      <c r="A5" s="29" t="s">
        <v>1070</v>
      </c>
      <c r="B5" s="16">
        <v>14879.64</v>
      </c>
      <c r="C5" s="10"/>
    </row>
    <row r="6" spans="1:3" x14ac:dyDescent="0.2">
      <c r="A6" s="29" t="s">
        <v>1071</v>
      </c>
      <c r="B6" s="16">
        <v>37116.93</v>
      </c>
      <c r="C6" s="10"/>
    </row>
    <row r="7" spans="1:3" x14ac:dyDescent="0.2">
      <c r="A7" s="29" t="s">
        <v>1067</v>
      </c>
      <c r="B7" s="82">
        <v>215.5</v>
      </c>
      <c r="C7" s="10"/>
    </row>
    <row r="8" spans="1:3" x14ac:dyDescent="0.2">
      <c r="A8" s="29" t="s">
        <v>1063</v>
      </c>
      <c r="B8" s="10"/>
      <c r="C8" s="112">
        <f>(B4-B5)+SUM(B6:B7)</f>
        <v>110628.97</v>
      </c>
    </row>
    <row r="9" spans="1:3" x14ac:dyDescent="0.2">
      <c r="B9" s="10"/>
      <c r="C9" s="10"/>
    </row>
    <row r="10" spans="1:3" x14ac:dyDescent="0.2">
      <c r="A10" s="29"/>
      <c r="B10" s="10"/>
      <c r="C10" s="10"/>
    </row>
    <row r="11" spans="1:3" x14ac:dyDescent="0.2">
      <c r="B11" s="10"/>
      <c r="C11" s="10"/>
    </row>
    <row r="12" spans="1:3" x14ac:dyDescent="0.2">
      <c r="A12" s="29" t="s">
        <v>1059</v>
      </c>
      <c r="B12" s="10"/>
      <c r="C12" s="10"/>
    </row>
    <row r="13" spans="1:3" x14ac:dyDescent="0.2">
      <c r="A13" s="29"/>
      <c r="B13" s="16"/>
      <c r="C13" s="10"/>
    </row>
  </sheetData>
  <pageMargins left="0.7" right="0.7" top="0.75" bottom="0.75" header="0.3" footer="0.3"/>
  <pageSetup orientation="landscape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B5" sqref="B5"/>
    </sheetView>
  </sheetViews>
  <sheetFormatPr defaultRowHeight="12.75" x14ac:dyDescent="0.2"/>
  <cols>
    <col min="1" max="1" width="26.85546875" customWidth="1"/>
    <col min="2" max="2" width="12.7109375" customWidth="1"/>
    <col min="3" max="3" width="11.7109375" customWidth="1"/>
  </cols>
  <sheetData>
    <row r="1" spans="1:3" ht="15.75" x14ac:dyDescent="0.25">
      <c r="B1" s="14" t="s">
        <v>1072</v>
      </c>
      <c r="C1" s="1"/>
    </row>
    <row r="2" spans="1:3" x14ac:dyDescent="0.2">
      <c r="C2" s="1"/>
    </row>
    <row r="3" spans="1:3" x14ac:dyDescent="0.2">
      <c r="B3" s="33"/>
      <c r="C3" s="33"/>
    </row>
    <row r="4" spans="1:3" x14ac:dyDescent="0.2">
      <c r="A4" s="29" t="s">
        <v>993</v>
      </c>
      <c r="B4" s="72">
        <v>109047.8</v>
      </c>
      <c r="C4" s="10"/>
    </row>
    <row r="5" spans="1:3" x14ac:dyDescent="0.2">
      <c r="A5" s="29" t="s">
        <v>1074</v>
      </c>
      <c r="B5" s="16">
        <v>23731.82</v>
      </c>
      <c r="C5" s="10"/>
    </row>
    <row r="6" spans="1:3" x14ac:dyDescent="0.2">
      <c r="A6" s="29" t="s">
        <v>1073</v>
      </c>
      <c r="B6" s="16">
        <v>44041.79</v>
      </c>
      <c r="C6" s="10"/>
    </row>
    <row r="7" spans="1:3" x14ac:dyDescent="0.2">
      <c r="A7" s="29" t="s">
        <v>1067</v>
      </c>
      <c r="B7" s="82">
        <v>461.43</v>
      </c>
      <c r="C7" s="10"/>
    </row>
    <row r="8" spans="1:3" x14ac:dyDescent="0.2">
      <c r="A8" s="29" t="s">
        <v>1063</v>
      </c>
      <c r="B8" s="10"/>
      <c r="C8" s="112">
        <f>(B4-B5)+SUM(B6:B7)</f>
        <v>129819.20000000001</v>
      </c>
    </row>
    <row r="9" spans="1:3" x14ac:dyDescent="0.2">
      <c r="B9" s="10"/>
      <c r="C9" s="10"/>
    </row>
    <row r="10" spans="1:3" x14ac:dyDescent="0.2">
      <c r="A10" s="29"/>
      <c r="B10" s="10"/>
      <c r="C10" s="10"/>
    </row>
    <row r="11" spans="1:3" x14ac:dyDescent="0.2">
      <c r="B11" s="10"/>
      <c r="C11" s="10"/>
    </row>
    <row r="12" spans="1:3" x14ac:dyDescent="0.2">
      <c r="A12" s="29" t="s">
        <v>1059</v>
      </c>
      <c r="B12" s="10"/>
      <c r="C12" s="10"/>
    </row>
  </sheetData>
  <pageMargins left="0.7" right="0.7" top="0.75" bottom="0.75" header="0.3" footer="0.3"/>
  <pageSetup orientation="landscape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topLeftCell="A8" workbookViewId="0">
      <selection activeCell="E32" sqref="E32"/>
    </sheetView>
  </sheetViews>
  <sheetFormatPr defaultRowHeight="12.75" x14ac:dyDescent="0.2"/>
  <cols>
    <col min="1" max="1" width="18.28515625" customWidth="1"/>
    <col min="2" max="2" width="27.42578125" customWidth="1"/>
    <col min="3" max="3" width="7.5703125" customWidth="1"/>
    <col min="4" max="7" width="11.7109375" customWidth="1"/>
    <col min="8" max="9" width="10.7109375" customWidth="1"/>
    <col min="10" max="10" width="10.28515625" customWidth="1"/>
  </cols>
  <sheetData>
    <row r="1" spans="1:10" ht="15.75" x14ac:dyDescent="0.25">
      <c r="B1" s="14" t="s">
        <v>699</v>
      </c>
      <c r="D1" s="1">
        <v>2015</v>
      </c>
      <c r="E1" s="51">
        <v>2014</v>
      </c>
      <c r="F1" s="51">
        <v>2014</v>
      </c>
      <c r="G1" s="51">
        <v>2013</v>
      </c>
      <c r="H1" s="51">
        <v>2012</v>
      </c>
      <c r="I1" s="51">
        <v>2011</v>
      </c>
      <c r="J1" s="17">
        <v>2010</v>
      </c>
    </row>
    <row r="2" spans="1:10" x14ac:dyDescent="0.2">
      <c r="D2" s="1" t="s">
        <v>596</v>
      </c>
      <c r="E2" s="51" t="s">
        <v>1090</v>
      </c>
      <c r="F2" s="51" t="s">
        <v>596</v>
      </c>
      <c r="G2" s="51" t="s">
        <v>597</v>
      </c>
      <c r="H2" s="70" t="s">
        <v>597</v>
      </c>
      <c r="I2" s="51" t="s">
        <v>597</v>
      </c>
      <c r="J2" s="51" t="s">
        <v>782</v>
      </c>
    </row>
    <row r="3" spans="1:10" x14ac:dyDescent="0.2">
      <c r="A3" s="29" t="s">
        <v>88</v>
      </c>
      <c r="J3" s="17"/>
    </row>
    <row r="4" spans="1:10" x14ac:dyDescent="0.2">
      <c r="A4" s="29" t="s">
        <v>709</v>
      </c>
      <c r="B4" s="29" t="s">
        <v>29</v>
      </c>
      <c r="D4" s="10">
        <v>9000</v>
      </c>
      <c r="E4" s="10">
        <v>9247.15</v>
      </c>
      <c r="F4" s="10">
        <v>8800</v>
      </c>
      <c r="G4" s="10">
        <v>8701.2199999999993</v>
      </c>
      <c r="H4" s="32">
        <v>7820.25</v>
      </c>
      <c r="I4" s="32">
        <v>6500</v>
      </c>
      <c r="J4" s="32">
        <v>8396</v>
      </c>
    </row>
    <row r="5" spans="1:10" x14ac:dyDescent="0.2">
      <c r="D5" s="10"/>
      <c r="E5" s="10"/>
      <c r="F5" s="10"/>
      <c r="G5" s="10"/>
      <c r="H5" s="17"/>
      <c r="I5" s="17"/>
      <c r="J5" s="17"/>
    </row>
    <row r="6" spans="1:10" x14ac:dyDescent="0.2">
      <c r="B6" s="33" t="s">
        <v>65</v>
      </c>
      <c r="D6" s="10">
        <v>9000</v>
      </c>
      <c r="E6" s="10">
        <f>SUM(E4)</f>
        <v>9247.15</v>
      </c>
      <c r="F6" s="10">
        <v>8800</v>
      </c>
      <c r="G6" s="10">
        <v>8701.2199999999993</v>
      </c>
      <c r="H6" s="34">
        <v>3794</v>
      </c>
      <c r="I6" s="34">
        <f t="shared" ref="I6:J6" si="0">SUM(I4:I5)</f>
        <v>6500</v>
      </c>
      <c r="J6" s="34">
        <f t="shared" si="0"/>
        <v>8396</v>
      </c>
    </row>
    <row r="7" spans="1:10" x14ac:dyDescent="0.2">
      <c r="A7" t="s">
        <v>89</v>
      </c>
      <c r="D7" s="22"/>
      <c r="E7" s="10"/>
      <c r="F7" s="10"/>
      <c r="G7" s="10"/>
      <c r="H7" s="17"/>
      <c r="I7" s="17"/>
      <c r="J7" s="17"/>
    </row>
    <row r="8" spans="1:10" x14ac:dyDescent="0.2">
      <c r="A8" t="s">
        <v>223</v>
      </c>
      <c r="E8" s="10"/>
      <c r="F8" s="10"/>
      <c r="G8" s="10"/>
    </row>
    <row r="9" spans="1:10" x14ac:dyDescent="0.2">
      <c r="A9" s="29" t="s">
        <v>700</v>
      </c>
      <c r="B9" t="s">
        <v>54</v>
      </c>
      <c r="D9" s="10">
        <v>5100</v>
      </c>
      <c r="E9" s="10">
        <v>5794.2</v>
      </c>
      <c r="F9" s="10">
        <v>4900</v>
      </c>
      <c r="G9" s="10">
        <v>6215.75</v>
      </c>
      <c r="H9" s="10">
        <v>6324.15</v>
      </c>
      <c r="I9" s="10">
        <f>3050*103.5%</f>
        <v>3156.7499999999995</v>
      </c>
      <c r="J9" s="10">
        <v>4495</v>
      </c>
    </row>
    <row r="10" spans="1:10" x14ac:dyDescent="0.2">
      <c r="A10" t="s">
        <v>219</v>
      </c>
      <c r="D10" s="10"/>
      <c r="E10" s="10"/>
      <c r="F10" s="10"/>
      <c r="G10" s="10"/>
      <c r="H10" s="10"/>
      <c r="I10" s="10"/>
      <c r="J10" s="10"/>
    </row>
    <row r="11" spans="1:10" x14ac:dyDescent="0.2">
      <c r="A11" t="s">
        <v>964</v>
      </c>
      <c r="B11" t="s">
        <v>221</v>
      </c>
      <c r="D11" s="10">
        <f>D9*0.075</f>
        <v>382.5</v>
      </c>
      <c r="E11" s="10">
        <v>420.09</v>
      </c>
      <c r="F11" s="10">
        <f>0.0725*F9</f>
        <v>355.25</v>
      </c>
      <c r="G11" s="10">
        <v>1500.45</v>
      </c>
      <c r="H11" s="10">
        <v>0</v>
      </c>
      <c r="I11" s="10">
        <v>0</v>
      </c>
      <c r="J11" s="10">
        <v>0</v>
      </c>
    </row>
    <row r="12" spans="1:10" x14ac:dyDescent="0.2">
      <c r="A12" s="29" t="s">
        <v>701</v>
      </c>
      <c r="B12" t="s">
        <v>92</v>
      </c>
      <c r="D12" s="10">
        <f>D9*0.062</f>
        <v>316.2</v>
      </c>
      <c r="E12" s="10">
        <v>359.24</v>
      </c>
      <c r="F12" s="10">
        <f>F9*0.062</f>
        <v>303.8</v>
      </c>
      <c r="G12" s="10">
        <v>385.37</v>
      </c>
      <c r="H12" s="10">
        <v>392.1</v>
      </c>
      <c r="I12" s="10">
        <f>0.062*I9</f>
        <v>195.71849999999998</v>
      </c>
      <c r="J12" s="10">
        <f>0.062*J9</f>
        <v>278.69</v>
      </c>
    </row>
    <row r="13" spans="1:10" x14ac:dyDescent="0.2">
      <c r="A13" s="29" t="s">
        <v>702</v>
      </c>
      <c r="B13" t="s">
        <v>94</v>
      </c>
      <c r="D13" s="10">
        <f>D9*0.0145</f>
        <v>73.95</v>
      </c>
      <c r="E13" s="10">
        <v>87</v>
      </c>
      <c r="F13" s="10">
        <f>F9*0.0145</f>
        <v>71.05</v>
      </c>
      <c r="G13" s="10">
        <v>90.14</v>
      </c>
      <c r="H13" s="10">
        <v>91.7</v>
      </c>
      <c r="I13" s="10">
        <f>0.0145*I9</f>
        <v>45.772874999999999</v>
      </c>
      <c r="J13" s="10">
        <f>0.0145*J9</f>
        <v>65.177500000000009</v>
      </c>
    </row>
    <row r="14" spans="1:10" x14ac:dyDescent="0.2">
      <c r="A14" t="s">
        <v>36</v>
      </c>
      <c r="D14" s="10"/>
      <c r="E14" s="10"/>
      <c r="F14" s="10"/>
      <c r="G14" s="10"/>
      <c r="H14" s="10"/>
      <c r="I14" s="10"/>
      <c r="J14" s="10"/>
    </row>
    <row r="15" spans="1:10" x14ac:dyDescent="0.2">
      <c r="A15" s="29" t="s">
        <v>703</v>
      </c>
      <c r="B15" t="s">
        <v>49</v>
      </c>
      <c r="D15" s="10">
        <v>350</v>
      </c>
      <c r="E15" s="10">
        <v>0</v>
      </c>
      <c r="F15" s="10">
        <v>350</v>
      </c>
      <c r="G15" s="10">
        <v>0</v>
      </c>
      <c r="H15" s="10">
        <v>0</v>
      </c>
      <c r="I15" s="10">
        <v>435</v>
      </c>
      <c r="J15" s="10">
        <v>0</v>
      </c>
    </row>
    <row r="16" spans="1:10" x14ac:dyDescent="0.2">
      <c r="A16" t="s">
        <v>180</v>
      </c>
      <c r="D16" s="10"/>
      <c r="E16" s="10"/>
      <c r="F16" s="10"/>
      <c r="G16" s="10"/>
      <c r="H16" s="10"/>
      <c r="I16" s="10"/>
      <c r="J16" s="10"/>
    </row>
    <row r="17" spans="1:10" x14ac:dyDescent="0.2">
      <c r="A17" s="29" t="s">
        <v>704</v>
      </c>
      <c r="B17" t="s">
        <v>615</v>
      </c>
      <c r="D17" s="10">
        <v>0</v>
      </c>
      <c r="E17" s="10">
        <v>0</v>
      </c>
      <c r="F17" s="10">
        <v>0</v>
      </c>
      <c r="G17" s="10">
        <v>0</v>
      </c>
      <c r="H17" s="10">
        <v>136.99</v>
      </c>
      <c r="I17" s="10">
        <v>0</v>
      </c>
      <c r="J17" s="10">
        <v>0</v>
      </c>
    </row>
    <row r="18" spans="1:10" x14ac:dyDescent="0.2">
      <c r="A18" s="29" t="s">
        <v>6</v>
      </c>
      <c r="D18" s="10"/>
      <c r="E18" s="10"/>
      <c r="F18" s="10"/>
      <c r="G18" s="10"/>
      <c r="H18" s="10"/>
      <c r="I18" s="10"/>
      <c r="J18" s="10"/>
    </row>
    <row r="19" spans="1:10" x14ac:dyDescent="0.2">
      <c r="A19" s="29" t="s">
        <v>828</v>
      </c>
      <c r="B19" s="29" t="s">
        <v>829</v>
      </c>
      <c r="D19" s="10">
        <v>0</v>
      </c>
      <c r="E19" s="10">
        <v>0</v>
      </c>
      <c r="F19" s="10">
        <v>0</v>
      </c>
      <c r="G19" s="10">
        <v>0</v>
      </c>
      <c r="H19" s="10">
        <v>736</v>
      </c>
      <c r="I19" s="10">
        <v>0</v>
      </c>
      <c r="J19" s="10">
        <v>0</v>
      </c>
    </row>
    <row r="20" spans="1:10" x14ac:dyDescent="0.2">
      <c r="A20" s="29" t="s">
        <v>767</v>
      </c>
      <c r="B20" s="29" t="s">
        <v>105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</row>
    <row r="21" spans="1:10" x14ac:dyDescent="0.2">
      <c r="A21" s="29" t="s">
        <v>825</v>
      </c>
      <c r="B21" s="29" t="s">
        <v>167</v>
      </c>
      <c r="D21" s="10">
        <v>0</v>
      </c>
      <c r="E21" s="10">
        <v>0</v>
      </c>
      <c r="F21" s="10">
        <v>0</v>
      </c>
      <c r="G21" s="10">
        <v>0</v>
      </c>
      <c r="H21" s="10">
        <v>166.1</v>
      </c>
      <c r="I21" s="10">
        <v>0</v>
      </c>
      <c r="J21" s="10">
        <v>0</v>
      </c>
    </row>
    <row r="22" spans="1:10" x14ac:dyDescent="0.2">
      <c r="A22" s="29" t="s">
        <v>159</v>
      </c>
      <c r="B22" s="29"/>
      <c r="D22" s="10"/>
      <c r="E22" s="10"/>
      <c r="F22" s="10"/>
      <c r="G22" s="10"/>
      <c r="H22" s="10"/>
      <c r="I22" s="10"/>
      <c r="J22" s="10"/>
    </row>
    <row r="23" spans="1:10" x14ac:dyDescent="0.2">
      <c r="A23" s="29" t="s">
        <v>976</v>
      </c>
      <c r="B23" s="29" t="s">
        <v>163</v>
      </c>
      <c r="D23" s="10">
        <v>0</v>
      </c>
      <c r="E23" s="10">
        <v>0</v>
      </c>
      <c r="F23" s="10">
        <v>0</v>
      </c>
      <c r="G23" s="10">
        <v>752.98</v>
      </c>
      <c r="H23" s="10">
        <v>0</v>
      </c>
      <c r="I23" s="10">
        <v>0</v>
      </c>
      <c r="J23" s="10">
        <v>0</v>
      </c>
    </row>
    <row r="24" spans="1:10" x14ac:dyDescent="0.2">
      <c r="A24" t="s">
        <v>587</v>
      </c>
      <c r="D24" s="10"/>
      <c r="E24" s="10"/>
      <c r="F24" s="10"/>
      <c r="G24" s="10"/>
      <c r="H24" s="10"/>
      <c r="I24" s="10"/>
      <c r="J24" s="10"/>
    </row>
    <row r="25" spans="1:10" x14ac:dyDescent="0.2">
      <c r="A25" s="29" t="s">
        <v>705</v>
      </c>
      <c r="B25" t="s">
        <v>611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</row>
    <row r="26" spans="1:10" x14ac:dyDescent="0.2">
      <c r="A26" s="29" t="s">
        <v>706</v>
      </c>
      <c r="B26" t="s">
        <v>129</v>
      </c>
      <c r="D26" s="10">
        <v>2777</v>
      </c>
      <c r="E26" s="10">
        <v>681.85</v>
      </c>
      <c r="F26" s="10">
        <v>2820</v>
      </c>
      <c r="G26" s="10">
        <v>1367.05</v>
      </c>
      <c r="H26" s="10">
        <v>0</v>
      </c>
      <c r="I26" s="10">
        <v>2667</v>
      </c>
      <c r="J26" s="10">
        <v>3557</v>
      </c>
    </row>
    <row r="27" spans="1:10" x14ac:dyDescent="0.2">
      <c r="A27" t="s">
        <v>120</v>
      </c>
      <c r="D27" s="10"/>
      <c r="E27" s="10"/>
      <c r="F27" s="10"/>
      <c r="G27" s="10"/>
      <c r="H27" s="10"/>
      <c r="I27" s="10"/>
      <c r="J27" s="10"/>
    </row>
    <row r="28" spans="1:10" x14ac:dyDescent="0.2">
      <c r="A28" s="29" t="s">
        <v>826</v>
      </c>
      <c r="B28" s="29" t="s">
        <v>827</v>
      </c>
      <c r="D28" s="10">
        <v>0</v>
      </c>
      <c r="E28" s="10">
        <v>0</v>
      </c>
      <c r="F28" s="10">
        <v>0</v>
      </c>
      <c r="G28" s="10">
        <v>0</v>
      </c>
      <c r="H28" s="10">
        <v>70.78</v>
      </c>
      <c r="I28" s="10">
        <v>0</v>
      </c>
      <c r="J28" s="10">
        <v>0</v>
      </c>
    </row>
    <row r="29" spans="1:10" x14ac:dyDescent="0.2">
      <c r="A29" s="29" t="s">
        <v>707</v>
      </c>
      <c r="B29" t="s">
        <v>648</v>
      </c>
      <c r="D29" s="10">
        <v>0</v>
      </c>
      <c r="E29" s="10">
        <v>0</v>
      </c>
      <c r="F29" s="10">
        <v>0</v>
      </c>
      <c r="G29" s="10"/>
      <c r="H29" s="10">
        <v>0</v>
      </c>
      <c r="I29" s="10">
        <v>0</v>
      </c>
      <c r="J29" s="10">
        <v>0</v>
      </c>
    </row>
    <row r="30" spans="1:10" x14ac:dyDescent="0.2">
      <c r="A30" s="29" t="s">
        <v>708</v>
      </c>
      <c r="B30" t="s">
        <v>697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</row>
    <row r="31" spans="1:10" x14ac:dyDescent="0.2">
      <c r="A31" s="29" t="s">
        <v>824</v>
      </c>
      <c r="B31" s="29" t="s">
        <v>644</v>
      </c>
      <c r="D31" s="10">
        <v>0</v>
      </c>
      <c r="E31" s="10">
        <v>0</v>
      </c>
      <c r="F31" s="10">
        <v>0</v>
      </c>
      <c r="G31" s="10">
        <v>0</v>
      </c>
      <c r="H31" s="10">
        <v>110</v>
      </c>
      <c r="I31" s="10">
        <v>0</v>
      </c>
      <c r="J31" s="10">
        <v>0</v>
      </c>
    </row>
    <row r="32" spans="1:10" x14ac:dyDescent="0.2">
      <c r="B32" s="26" t="s">
        <v>65</v>
      </c>
      <c r="D32" s="10">
        <f>SUM(D9:D31)</f>
        <v>8999.65</v>
      </c>
      <c r="E32" s="10">
        <f>SUM(E9:E31)</f>
        <v>7342.38</v>
      </c>
      <c r="F32" s="10">
        <f>SUM(F9:F31)</f>
        <v>8800.1</v>
      </c>
      <c r="G32" s="10">
        <f>SUM(G9:G31)</f>
        <v>10311.74</v>
      </c>
      <c r="H32" s="10">
        <f>SUM(H9:H31)</f>
        <v>8027.82</v>
      </c>
      <c r="I32" s="10">
        <f>SUM(I9:I29)</f>
        <v>6500.2413749999996</v>
      </c>
      <c r="J32" s="10">
        <f>SUM(J9:J31)</f>
        <v>8395.8675000000003</v>
      </c>
    </row>
    <row r="34" spans="1:11" x14ac:dyDescent="0.2">
      <c r="A34" s="13"/>
      <c r="K34" s="29"/>
    </row>
    <row r="35" spans="1:11" x14ac:dyDescent="0.2">
      <c r="B35" s="29"/>
      <c r="H35" s="10"/>
      <c r="I35" s="13"/>
    </row>
    <row r="36" spans="1:11" x14ac:dyDescent="0.2">
      <c r="I36" s="13"/>
    </row>
    <row r="37" spans="1:11" x14ac:dyDescent="0.2">
      <c r="I37" s="25"/>
    </row>
  </sheetData>
  <phoneticPr fontId="2" type="noConversion"/>
  <pageMargins left="0.25" right="0.25" top="0.75" bottom="0.75" header="0.3" footer="0.3"/>
  <pageSetup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96"/>
  <sheetViews>
    <sheetView topLeftCell="A65" zoomScaleNormal="100" workbookViewId="0">
      <selection activeCell="C88" sqref="C88"/>
    </sheetView>
  </sheetViews>
  <sheetFormatPr defaultRowHeight="12.75" x14ac:dyDescent="0.2"/>
  <cols>
    <col min="1" max="1" width="18.42578125" customWidth="1"/>
    <col min="2" max="2" width="27.42578125" customWidth="1"/>
    <col min="3" max="3" width="14.28515625" customWidth="1"/>
    <col min="4" max="8" width="11.7109375" customWidth="1"/>
    <col min="9" max="9" width="11.28515625" style="29" customWidth="1"/>
  </cols>
  <sheetData>
    <row r="1" spans="1:9" ht="15.75" x14ac:dyDescent="0.25">
      <c r="B1" s="14" t="s">
        <v>1</v>
      </c>
      <c r="C1" s="1">
        <v>2015</v>
      </c>
      <c r="D1" s="51">
        <v>2014</v>
      </c>
      <c r="E1" s="51">
        <v>2014</v>
      </c>
      <c r="F1" s="51">
        <v>2013</v>
      </c>
      <c r="G1" s="51">
        <v>2012</v>
      </c>
      <c r="H1" s="51">
        <v>2011</v>
      </c>
      <c r="I1" s="51">
        <v>2010</v>
      </c>
    </row>
    <row r="2" spans="1:9" x14ac:dyDescent="0.2">
      <c r="A2" t="s">
        <v>47</v>
      </c>
      <c r="C2" s="1" t="s">
        <v>596</v>
      </c>
      <c r="D2" s="51" t="s">
        <v>1076</v>
      </c>
      <c r="E2" s="51" t="s">
        <v>596</v>
      </c>
      <c r="F2" s="51" t="s">
        <v>597</v>
      </c>
      <c r="G2" s="51" t="s">
        <v>597</v>
      </c>
      <c r="H2" s="51" t="s">
        <v>597</v>
      </c>
      <c r="I2" s="51" t="s">
        <v>597</v>
      </c>
    </row>
    <row r="3" spans="1:9" x14ac:dyDescent="0.2">
      <c r="C3" s="1"/>
    </row>
    <row r="4" spans="1:9" x14ac:dyDescent="0.2">
      <c r="A4" s="13" t="s">
        <v>676</v>
      </c>
      <c r="B4" s="13" t="s">
        <v>677</v>
      </c>
      <c r="C4" s="10">
        <v>0</v>
      </c>
      <c r="D4" s="10">
        <v>150</v>
      </c>
      <c r="E4" s="10">
        <v>0</v>
      </c>
      <c r="F4" s="10">
        <v>0</v>
      </c>
      <c r="G4" s="10">
        <v>150</v>
      </c>
      <c r="H4" s="10">
        <v>150</v>
      </c>
      <c r="I4" s="71">
        <v>0</v>
      </c>
    </row>
    <row r="5" spans="1:9" x14ac:dyDescent="0.2">
      <c r="A5" s="13" t="s">
        <v>678</v>
      </c>
      <c r="B5" t="s">
        <v>567</v>
      </c>
      <c r="C5" s="10">
        <v>1720000</v>
      </c>
      <c r="D5" s="10">
        <v>1494400.95</v>
      </c>
      <c r="E5" s="10">
        <f>F5*103%</f>
        <v>1699038.7866</v>
      </c>
      <c r="F5" s="10">
        <v>1649552.22</v>
      </c>
      <c r="G5" s="44">
        <v>1518848.52</v>
      </c>
      <c r="H5" s="44">
        <v>1261634</v>
      </c>
      <c r="I5" s="44">
        <v>1273805</v>
      </c>
    </row>
    <row r="6" spans="1:9" x14ac:dyDescent="0.2">
      <c r="A6" t="s">
        <v>184</v>
      </c>
      <c r="B6" t="s">
        <v>24</v>
      </c>
      <c r="C6" s="10">
        <f>E6*103%</f>
        <v>5528.2544189999999</v>
      </c>
      <c r="D6" s="10">
        <v>4729.8</v>
      </c>
      <c r="E6" s="10">
        <f>F6*103%</f>
        <v>5367.2372999999998</v>
      </c>
      <c r="F6" s="10">
        <v>5210.91</v>
      </c>
      <c r="G6" s="42">
        <v>5607.25</v>
      </c>
      <c r="H6" s="42">
        <f>1087+5316+659</f>
        <v>7062</v>
      </c>
      <c r="I6" s="44">
        <v>4305</v>
      </c>
    </row>
    <row r="7" spans="1:9" x14ac:dyDescent="0.2">
      <c r="A7" s="29" t="s">
        <v>840</v>
      </c>
      <c r="B7" s="29" t="s">
        <v>567</v>
      </c>
      <c r="C7" s="10">
        <v>0</v>
      </c>
      <c r="D7" s="10">
        <v>1452.24</v>
      </c>
      <c r="E7" s="10">
        <v>0</v>
      </c>
      <c r="F7" s="10">
        <v>1647.52</v>
      </c>
      <c r="G7" s="42">
        <v>1536.38</v>
      </c>
      <c r="H7" s="42">
        <v>0</v>
      </c>
      <c r="I7" s="44">
        <v>0</v>
      </c>
    </row>
    <row r="8" spans="1:9" x14ac:dyDescent="0.2">
      <c r="A8" s="29" t="s">
        <v>841</v>
      </c>
      <c r="B8" s="29" t="s">
        <v>842</v>
      </c>
      <c r="C8" s="10">
        <v>0</v>
      </c>
      <c r="D8" s="10">
        <v>1996.31</v>
      </c>
      <c r="E8" s="10">
        <v>0</v>
      </c>
      <c r="F8" s="10">
        <v>1903.53</v>
      </c>
      <c r="G8" s="42">
        <v>1535.53</v>
      </c>
      <c r="H8" s="42">
        <v>0</v>
      </c>
      <c r="I8" s="44">
        <v>0</v>
      </c>
    </row>
    <row r="9" spans="1:9" x14ac:dyDescent="0.2">
      <c r="A9" t="s">
        <v>718</v>
      </c>
      <c r="B9" t="s">
        <v>185</v>
      </c>
      <c r="C9" s="10">
        <v>0</v>
      </c>
      <c r="D9" s="10">
        <v>0</v>
      </c>
      <c r="E9" s="10">
        <v>0</v>
      </c>
      <c r="F9" s="10">
        <v>0</v>
      </c>
      <c r="G9" s="44">
        <v>25</v>
      </c>
      <c r="H9" s="44">
        <f>1147-10</f>
        <v>1137</v>
      </c>
      <c r="I9" s="44">
        <f>712+17</f>
        <v>729</v>
      </c>
    </row>
    <row r="10" spans="1:9" x14ac:dyDescent="0.2">
      <c r="A10" s="29" t="s">
        <v>843</v>
      </c>
      <c r="B10" s="29" t="s">
        <v>844</v>
      </c>
      <c r="C10" s="10">
        <v>0</v>
      </c>
      <c r="D10" s="10">
        <v>278.51</v>
      </c>
      <c r="E10" s="10">
        <v>0</v>
      </c>
      <c r="F10" s="10">
        <v>6.16</v>
      </c>
      <c r="G10" s="44">
        <v>15</v>
      </c>
      <c r="H10" s="44">
        <v>0</v>
      </c>
      <c r="I10" s="44">
        <v>0</v>
      </c>
    </row>
    <row r="11" spans="1:9" x14ac:dyDescent="0.2">
      <c r="A11" s="13" t="s">
        <v>679</v>
      </c>
      <c r="B11" s="29" t="s">
        <v>846</v>
      </c>
      <c r="C11" s="10">
        <v>20000</v>
      </c>
      <c r="D11" s="10">
        <v>13354.87</v>
      </c>
      <c r="E11" s="10">
        <v>20000</v>
      </c>
      <c r="F11" s="10">
        <v>14597.93</v>
      </c>
      <c r="G11" s="44">
        <v>17142.36</v>
      </c>
      <c r="H11" s="44">
        <v>19570</v>
      </c>
      <c r="I11" s="44">
        <v>17393</v>
      </c>
    </row>
    <row r="12" spans="1:9" x14ac:dyDescent="0.2">
      <c r="A12" s="29" t="s">
        <v>845</v>
      </c>
      <c r="B12" s="29" t="s">
        <v>813</v>
      </c>
      <c r="C12" s="10">
        <v>0</v>
      </c>
      <c r="D12" s="10">
        <v>0</v>
      </c>
      <c r="E12" s="10">
        <v>0</v>
      </c>
      <c r="F12" s="10">
        <v>0</v>
      </c>
      <c r="G12" s="44">
        <v>417.96</v>
      </c>
      <c r="H12" s="44">
        <v>0</v>
      </c>
      <c r="I12" s="44">
        <v>0</v>
      </c>
    </row>
    <row r="13" spans="1:9" x14ac:dyDescent="0.2">
      <c r="A13" s="29"/>
      <c r="B13" s="29" t="s">
        <v>1075</v>
      </c>
      <c r="C13" s="129">
        <v>127000</v>
      </c>
      <c r="D13" s="10">
        <v>0</v>
      </c>
      <c r="E13" s="10">
        <v>0</v>
      </c>
      <c r="F13" s="10">
        <v>0</v>
      </c>
      <c r="G13" s="44">
        <v>0</v>
      </c>
      <c r="H13" s="44">
        <v>0</v>
      </c>
      <c r="I13" s="44">
        <v>0</v>
      </c>
    </row>
    <row r="14" spans="1:9" x14ac:dyDescent="0.2">
      <c r="C14" s="10"/>
      <c r="D14" s="10"/>
      <c r="E14" s="10"/>
      <c r="F14" s="10"/>
      <c r="G14" s="42"/>
      <c r="H14" s="42"/>
      <c r="I14" s="44"/>
    </row>
    <row r="15" spans="1:9" x14ac:dyDescent="0.2">
      <c r="B15" s="26" t="s">
        <v>65</v>
      </c>
      <c r="C15" s="129">
        <f>SUM(C4:C13)</f>
        <v>1872528.2544189999</v>
      </c>
      <c r="D15" s="10">
        <f>SUM(D4:D13)</f>
        <v>1516362.6800000002</v>
      </c>
      <c r="E15" s="10">
        <f>SUM(E4:E13)</f>
        <v>1724406.0238999999</v>
      </c>
      <c r="F15" s="10">
        <f>SUM(F4:F14)</f>
        <v>1672918.2699999998</v>
      </c>
      <c r="G15" s="44">
        <f>SUM(G4:G13)</f>
        <v>1545278</v>
      </c>
      <c r="H15" s="44">
        <f>SUM(H4:H13)</f>
        <v>1289553</v>
      </c>
      <c r="I15" s="44">
        <f>SUM(I4:I13)</f>
        <v>1296232</v>
      </c>
    </row>
    <row r="16" spans="1:9" x14ac:dyDescent="0.2">
      <c r="A16" t="s">
        <v>89</v>
      </c>
      <c r="D16" s="10"/>
      <c r="E16" s="10"/>
      <c r="F16" s="10"/>
      <c r="G16" s="36"/>
      <c r="H16" s="36"/>
      <c r="I16" s="50"/>
    </row>
    <row r="17" spans="1:9" x14ac:dyDescent="0.2">
      <c r="A17" t="s">
        <v>223</v>
      </c>
      <c r="D17" s="10"/>
      <c r="E17" s="10"/>
      <c r="F17" s="10"/>
      <c r="G17" s="36"/>
      <c r="H17" s="36"/>
      <c r="I17" s="50"/>
    </row>
    <row r="18" spans="1:9" x14ac:dyDescent="0.2">
      <c r="A18" t="s">
        <v>408</v>
      </c>
      <c r="B18" t="s">
        <v>109</v>
      </c>
      <c r="C18" s="10">
        <v>66061</v>
      </c>
      <c r="D18" s="10">
        <v>51876.480000000003</v>
      </c>
      <c r="E18" s="10">
        <f>64771</f>
        <v>64771</v>
      </c>
      <c r="F18" s="10">
        <v>84747.34</v>
      </c>
      <c r="G18" s="42">
        <v>96610.19</v>
      </c>
      <c r="H18" s="42">
        <f>87+82414</f>
        <v>82501</v>
      </c>
      <c r="I18" s="44">
        <v>76035</v>
      </c>
    </row>
    <row r="19" spans="1:9" x14ac:dyDescent="0.2">
      <c r="A19" t="s">
        <v>409</v>
      </c>
      <c r="B19" t="s">
        <v>110</v>
      </c>
      <c r="C19" s="10">
        <v>0</v>
      </c>
      <c r="D19" s="10">
        <v>0</v>
      </c>
      <c r="E19" s="10">
        <v>0</v>
      </c>
      <c r="F19" s="10">
        <v>784.8</v>
      </c>
      <c r="G19" s="42">
        <v>350.09</v>
      </c>
      <c r="H19" s="42">
        <v>53</v>
      </c>
      <c r="I19" s="44">
        <v>0</v>
      </c>
    </row>
    <row r="20" spans="1:9" x14ac:dyDescent="0.2">
      <c r="A20" s="29" t="s">
        <v>832</v>
      </c>
      <c r="B20" s="29" t="s">
        <v>787</v>
      </c>
      <c r="C20" s="10">
        <v>3000</v>
      </c>
      <c r="D20" s="10">
        <v>2466.2600000000002</v>
      </c>
      <c r="E20" s="10">
        <v>0</v>
      </c>
      <c r="F20" s="10">
        <f>2726.46+61.95</f>
        <v>2788.41</v>
      </c>
      <c r="G20" s="42">
        <v>1647.72</v>
      </c>
      <c r="H20" s="42">
        <v>1062</v>
      </c>
      <c r="I20" s="44">
        <v>0</v>
      </c>
    </row>
    <row r="21" spans="1:9" x14ac:dyDescent="0.2">
      <c r="A21" t="s">
        <v>219</v>
      </c>
      <c r="C21" s="10"/>
      <c r="D21" s="10"/>
      <c r="E21" s="10"/>
      <c r="F21" s="10"/>
      <c r="G21" s="42"/>
      <c r="H21" s="42"/>
      <c r="I21" s="44"/>
    </row>
    <row r="22" spans="1:9" x14ac:dyDescent="0.2">
      <c r="A22" t="s">
        <v>410</v>
      </c>
      <c r="B22" t="s">
        <v>221</v>
      </c>
      <c r="C22" s="10">
        <f>SUM(C18:C20)*0.075</f>
        <v>5179.5749999999998</v>
      </c>
      <c r="D22" s="10">
        <v>4266.99</v>
      </c>
      <c r="E22" s="10">
        <f>E18*0.0725</f>
        <v>4695.8975</v>
      </c>
      <c r="F22" s="10">
        <v>6398.63</v>
      </c>
      <c r="G22" s="42">
        <v>7149.15</v>
      </c>
      <c r="H22" s="42">
        <v>6065</v>
      </c>
      <c r="I22" s="44">
        <v>5323</v>
      </c>
    </row>
    <row r="23" spans="1:9" x14ac:dyDescent="0.2">
      <c r="A23" t="s">
        <v>411</v>
      </c>
      <c r="B23" t="s">
        <v>92</v>
      </c>
      <c r="C23" s="10">
        <f>SUM(C18:C20)*0.062</f>
        <v>4281.7820000000002</v>
      </c>
      <c r="D23" s="10">
        <v>3647.36</v>
      </c>
      <c r="E23" s="10">
        <f>E18*0.062</f>
        <v>4015.8020000000001</v>
      </c>
      <c r="F23" s="10">
        <v>5422.8</v>
      </c>
      <c r="G23" s="42">
        <v>6062.01</v>
      </c>
      <c r="H23" s="42">
        <v>5159</v>
      </c>
      <c r="I23" s="44">
        <v>4699</v>
      </c>
    </row>
    <row r="24" spans="1:9" x14ac:dyDescent="0.2">
      <c r="A24" t="s">
        <v>412</v>
      </c>
      <c r="B24" t="s">
        <v>94</v>
      </c>
      <c r="C24" s="10">
        <f>SUM(C18:C20)*0.0145</f>
        <v>1001.3845</v>
      </c>
      <c r="D24" s="10">
        <v>853.11</v>
      </c>
      <c r="E24" s="10">
        <f>E18*0.0145</f>
        <v>939.17950000000008</v>
      </c>
      <c r="F24" s="10">
        <v>1268.2</v>
      </c>
      <c r="G24" s="42">
        <v>1417.75</v>
      </c>
      <c r="H24" s="42">
        <v>1207</v>
      </c>
      <c r="I24" s="44">
        <v>1099</v>
      </c>
    </row>
    <row r="25" spans="1:9" x14ac:dyDescent="0.2">
      <c r="A25" t="s">
        <v>214</v>
      </c>
      <c r="C25" s="10"/>
      <c r="D25" s="10"/>
      <c r="E25" s="10"/>
      <c r="F25" s="10"/>
      <c r="G25" s="42"/>
      <c r="H25" s="42"/>
      <c r="I25" s="44"/>
    </row>
    <row r="26" spans="1:9" x14ac:dyDescent="0.2">
      <c r="A26" t="s">
        <v>413</v>
      </c>
      <c r="B26" t="s">
        <v>216</v>
      </c>
      <c r="C26" s="10">
        <f>803*12</f>
        <v>9636</v>
      </c>
      <c r="D26" s="10">
        <v>8286.93</v>
      </c>
      <c r="E26" s="10">
        <f>803*12</f>
        <v>9636</v>
      </c>
      <c r="F26" s="10">
        <v>14886.54</v>
      </c>
      <c r="G26" s="42">
        <v>18804.04</v>
      </c>
      <c r="H26" s="42">
        <v>16128</v>
      </c>
      <c r="I26" s="44">
        <v>13554</v>
      </c>
    </row>
    <row r="27" spans="1:9" x14ac:dyDescent="0.2">
      <c r="A27" t="s">
        <v>414</v>
      </c>
      <c r="B27" t="s">
        <v>218</v>
      </c>
      <c r="C27" s="10">
        <f>56.61*12</f>
        <v>679.31999999999994</v>
      </c>
      <c r="D27" s="10">
        <v>584.21</v>
      </c>
      <c r="E27" s="10">
        <f>38.98*12</f>
        <v>467.76</v>
      </c>
      <c r="F27" s="10">
        <v>793.48</v>
      </c>
      <c r="G27" s="42">
        <v>833.67</v>
      </c>
      <c r="H27" s="42">
        <v>1074</v>
      </c>
      <c r="I27" s="44">
        <v>995</v>
      </c>
    </row>
    <row r="28" spans="1:9" x14ac:dyDescent="0.2">
      <c r="A28" s="29" t="s">
        <v>837</v>
      </c>
      <c r="C28" s="10"/>
      <c r="D28" s="10"/>
      <c r="E28" s="10"/>
      <c r="F28" s="10"/>
      <c r="G28" s="42"/>
      <c r="H28" s="42"/>
      <c r="I28" s="44"/>
    </row>
    <row r="29" spans="1:9" x14ac:dyDescent="0.2">
      <c r="A29" s="29" t="s">
        <v>838</v>
      </c>
      <c r="B29" s="29" t="s">
        <v>839</v>
      </c>
      <c r="C29" s="10">
        <v>0</v>
      </c>
      <c r="D29" s="10">
        <v>0</v>
      </c>
      <c r="E29" s="10">
        <v>0</v>
      </c>
      <c r="F29" s="10">
        <v>0</v>
      </c>
      <c r="G29" s="42">
        <v>2641.54</v>
      </c>
      <c r="H29" s="42">
        <v>0</v>
      </c>
      <c r="I29" s="44">
        <v>0</v>
      </c>
    </row>
    <row r="30" spans="1:9" x14ac:dyDescent="0.2">
      <c r="A30" t="s">
        <v>50</v>
      </c>
      <c r="C30" s="10"/>
      <c r="D30" s="10"/>
      <c r="E30" s="10"/>
      <c r="F30" s="10"/>
      <c r="G30" s="42"/>
      <c r="H30" s="42"/>
      <c r="I30" s="44"/>
    </row>
    <row r="31" spans="1:9" x14ac:dyDescent="0.2">
      <c r="A31" t="s">
        <v>415</v>
      </c>
      <c r="B31" t="s">
        <v>213</v>
      </c>
      <c r="C31" s="10">
        <v>5000</v>
      </c>
      <c r="D31" s="10">
        <v>0</v>
      </c>
      <c r="E31" s="10">
        <v>5300</v>
      </c>
      <c r="F31" s="10">
        <v>1097</v>
      </c>
      <c r="G31" s="42">
        <v>919</v>
      </c>
      <c r="H31" s="42">
        <v>8548</v>
      </c>
      <c r="I31" s="44">
        <v>3457</v>
      </c>
    </row>
    <row r="32" spans="1:9" x14ac:dyDescent="0.2">
      <c r="A32" s="13" t="s">
        <v>36</v>
      </c>
      <c r="C32" s="10"/>
      <c r="D32" s="10"/>
      <c r="E32" s="10"/>
      <c r="F32" s="10"/>
      <c r="G32" s="42"/>
      <c r="H32" s="42"/>
      <c r="I32" s="44"/>
    </row>
    <row r="33" spans="1:11" x14ac:dyDescent="0.2">
      <c r="A33" s="29" t="s">
        <v>835</v>
      </c>
      <c r="B33" s="29" t="s">
        <v>836</v>
      </c>
      <c r="C33" s="10">
        <v>0</v>
      </c>
      <c r="D33" s="10">
        <v>0</v>
      </c>
      <c r="E33" s="10">
        <v>0</v>
      </c>
      <c r="F33" s="10">
        <v>0</v>
      </c>
      <c r="G33" s="42">
        <v>158.66999999999999</v>
      </c>
      <c r="H33" s="42">
        <v>0</v>
      </c>
      <c r="I33" s="44">
        <v>0</v>
      </c>
    </row>
    <row r="34" spans="1:11" x14ac:dyDescent="0.2">
      <c r="A34" s="29" t="s">
        <v>833</v>
      </c>
      <c r="B34" s="29" t="s">
        <v>834</v>
      </c>
      <c r="C34" s="10">
        <v>0</v>
      </c>
      <c r="D34" s="10">
        <v>0</v>
      </c>
      <c r="E34" s="10">
        <v>0</v>
      </c>
      <c r="F34" s="10">
        <v>296.48</v>
      </c>
      <c r="G34" s="42">
        <v>388.93</v>
      </c>
      <c r="H34" s="42">
        <v>0</v>
      </c>
      <c r="I34" s="44">
        <v>0</v>
      </c>
    </row>
    <row r="35" spans="1:11" x14ac:dyDescent="0.2">
      <c r="A35" t="s">
        <v>416</v>
      </c>
      <c r="B35" t="s">
        <v>42</v>
      </c>
      <c r="C35" s="10">
        <v>2500</v>
      </c>
      <c r="D35" s="10">
        <v>652.08000000000004</v>
      </c>
      <c r="E35" s="10">
        <v>2500</v>
      </c>
      <c r="F35" s="10">
        <v>1490.57</v>
      </c>
      <c r="G35" s="42">
        <v>889.39</v>
      </c>
      <c r="H35" s="42">
        <f>1250+1181</f>
        <v>2431</v>
      </c>
      <c r="I35" s="44">
        <f>733+824</f>
        <v>1557</v>
      </c>
    </row>
    <row r="36" spans="1:11" x14ac:dyDescent="0.2">
      <c r="A36" t="s">
        <v>417</v>
      </c>
      <c r="B36" t="s">
        <v>44</v>
      </c>
      <c r="C36" s="10">
        <v>1000</v>
      </c>
      <c r="D36" s="10">
        <v>712.34</v>
      </c>
      <c r="E36" s="10">
        <v>1000</v>
      </c>
      <c r="F36" s="10">
        <v>837.64</v>
      </c>
      <c r="G36" s="42">
        <v>438.23</v>
      </c>
      <c r="H36" s="42">
        <v>938</v>
      </c>
      <c r="I36" s="44">
        <v>76</v>
      </c>
    </row>
    <row r="37" spans="1:11" x14ac:dyDescent="0.2">
      <c r="A37" t="s">
        <v>418</v>
      </c>
      <c r="B37" t="s">
        <v>49</v>
      </c>
      <c r="C37" s="10">
        <v>600</v>
      </c>
      <c r="D37" s="10">
        <v>356.77</v>
      </c>
      <c r="E37" s="10">
        <v>600</v>
      </c>
      <c r="F37" s="10">
        <v>544.85</v>
      </c>
      <c r="G37" s="42">
        <v>1977.1</v>
      </c>
      <c r="H37" s="42">
        <v>600</v>
      </c>
      <c r="I37" s="44">
        <v>203</v>
      </c>
    </row>
    <row r="38" spans="1:11" x14ac:dyDescent="0.2">
      <c r="A38" t="s">
        <v>180</v>
      </c>
      <c r="C38" s="10"/>
      <c r="D38" s="10"/>
      <c r="E38" s="10"/>
      <c r="F38" s="10"/>
      <c r="G38" s="42"/>
      <c r="H38" s="42"/>
      <c r="I38" s="44"/>
    </row>
    <row r="39" spans="1:11" x14ac:dyDescent="0.2">
      <c r="A39" t="s">
        <v>419</v>
      </c>
      <c r="B39" t="s">
        <v>182</v>
      </c>
      <c r="C39" s="10">
        <v>0</v>
      </c>
      <c r="D39" s="10">
        <v>0</v>
      </c>
      <c r="E39" s="10">
        <v>50</v>
      </c>
      <c r="F39" s="10">
        <v>0</v>
      </c>
      <c r="G39" s="42">
        <v>93.83</v>
      </c>
      <c r="H39" s="42">
        <v>425</v>
      </c>
      <c r="I39" s="44">
        <v>0</v>
      </c>
    </row>
    <row r="40" spans="1:11" x14ac:dyDescent="0.2">
      <c r="A40" t="s">
        <v>420</v>
      </c>
      <c r="B40" t="s">
        <v>183</v>
      </c>
      <c r="C40" s="10">
        <v>3000</v>
      </c>
      <c r="D40" s="10">
        <v>1314.26</v>
      </c>
      <c r="E40" s="10">
        <v>3000</v>
      </c>
      <c r="F40" s="10">
        <v>1227.1500000000001</v>
      </c>
      <c r="G40" s="42">
        <v>1979.05</v>
      </c>
      <c r="H40" s="42">
        <f>9+2544</f>
        <v>2553</v>
      </c>
      <c r="I40" s="44">
        <v>1367</v>
      </c>
    </row>
    <row r="41" spans="1:11" x14ac:dyDescent="0.2">
      <c r="A41" t="s">
        <v>421</v>
      </c>
      <c r="B41" t="s">
        <v>33</v>
      </c>
      <c r="C41" s="10">
        <v>100</v>
      </c>
      <c r="D41" s="10">
        <v>48.49</v>
      </c>
      <c r="E41" s="10">
        <v>100</v>
      </c>
      <c r="F41" s="10">
        <v>0</v>
      </c>
      <c r="G41" s="42">
        <v>96</v>
      </c>
      <c r="H41" s="42">
        <v>0</v>
      </c>
      <c r="I41" s="44">
        <v>23</v>
      </c>
    </row>
    <row r="42" spans="1:11" x14ac:dyDescent="0.2">
      <c r="A42" t="s">
        <v>422</v>
      </c>
      <c r="B42" t="s">
        <v>34</v>
      </c>
      <c r="C42" s="10">
        <v>0</v>
      </c>
      <c r="D42" s="10">
        <v>0</v>
      </c>
      <c r="E42" s="10">
        <v>50</v>
      </c>
      <c r="F42" s="10">
        <v>0</v>
      </c>
      <c r="G42" s="42">
        <v>14.55</v>
      </c>
      <c r="H42" s="42">
        <v>0</v>
      </c>
      <c r="I42" s="44">
        <v>283</v>
      </c>
    </row>
    <row r="43" spans="1:11" x14ac:dyDescent="0.2">
      <c r="A43" t="s">
        <v>423</v>
      </c>
      <c r="B43" t="s">
        <v>35</v>
      </c>
      <c r="C43" s="10">
        <v>4000</v>
      </c>
      <c r="D43" s="10">
        <v>3936.18</v>
      </c>
      <c r="E43" s="10">
        <v>3500</v>
      </c>
      <c r="F43" s="10">
        <v>3051.38</v>
      </c>
      <c r="G43" s="42">
        <v>4369.09</v>
      </c>
      <c r="H43" s="42">
        <v>1112</v>
      </c>
      <c r="I43" s="44">
        <v>3260</v>
      </c>
    </row>
    <row r="44" spans="1:11" x14ac:dyDescent="0.2">
      <c r="A44" t="s">
        <v>23</v>
      </c>
      <c r="C44" s="10"/>
      <c r="D44" s="10"/>
      <c r="E44" s="10"/>
      <c r="F44" s="10"/>
      <c r="G44" s="42"/>
      <c r="H44" s="42"/>
      <c r="I44" s="44"/>
    </row>
    <row r="45" spans="1:11" x14ac:dyDescent="0.2">
      <c r="A45" t="s">
        <v>424</v>
      </c>
      <c r="B45" t="s">
        <v>171</v>
      </c>
      <c r="C45" s="10">
        <v>11000</v>
      </c>
      <c r="D45" s="10">
        <v>8538.66</v>
      </c>
      <c r="E45" s="10">
        <v>10000</v>
      </c>
      <c r="F45" s="10">
        <v>7760.25</v>
      </c>
      <c r="G45" s="42">
        <v>9737.49</v>
      </c>
      <c r="H45" s="42">
        <v>6652</v>
      </c>
      <c r="I45" s="44">
        <v>7900</v>
      </c>
    </row>
    <row r="46" spans="1:11" x14ac:dyDescent="0.2">
      <c r="A46" t="s">
        <v>425</v>
      </c>
      <c r="B46" t="s">
        <v>174</v>
      </c>
      <c r="C46" s="10">
        <v>0</v>
      </c>
      <c r="D46" s="10">
        <v>0</v>
      </c>
      <c r="E46" s="10">
        <v>25</v>
      </c>
      <c r="F46" s="10">
        <v>0</v>
      </c>
      <c r="G46" s="42">
        <v>0</v>
      </c>
      <c r="H46" s="42">
        <v>25</v>
      </c>
      <c r="I46" s="44">
        <v>30</v>
      </c>
    </row>
    <row r="47" spans="1:11" x14ac:dyDescent="0.2">
      <c r="A47" t="s">
        <v>426</v>
      </c>
      <c r="B47" t="s">
        <v>178</v>
      </c>
      <c r="C47" s="10">
        <v>4000</v>
      </c>
      <c r="D47" s="10">
        <v>210</v>
      </c>
      <c r="E47" s="10">
        <v>14000</v>
      </c>
      <c r="F47" s="10">
        <v>9541.3799999999992</v>
      </c>
      <c r="G47" s="42">
        <v>3267.38</v>
      </c>
      <c r="H47" s="42">
        <f>436+29</f>
        <v>465</v>
      </c>
      <c r="I47" s="44">
        <v>232</v>
      </c>
    </row>
    <row r="48" spans="1:11" x14ac:dyDescent="0.2">
      <c r="A48" t="s">
        <v>427</v>
      </c>
      <c r="B48" t="s">
        <v>179</v>
      </c>
      <c r="C48" s="10">
        <v>0</v>
      </c>
      <c r="D48" s="10">
        <v>76.459999999999994</v>
      </c>
      <c r="E48" s="10">
        <v>500</v>
      </c>
      <c r="F48" s="10">
        <v>116.04</v>
      </c>
      <c r="G48" s="42">
        <v>238.56</v>
      </c>
      <c r="H48" s="42">
        <v>90</v>
      </c>
      <c r="I48" s="44">
        <v>449</v>
      </c>
      <c r="K48" s="29"/>
    </row>
    <row r="49" spans="1:9" x14ac:dyDescent="0.2">
      <c r="A49" t="s">
        <v>6</v>
      </c>
      <c r="C49" s="10"/>
      <c r="D49" s="10"/>
      <c r="E49" s="10"/>
      <c r="F49" s="10"/>
      <c r="G49" s="42"/>
      <c r="H49" s="42"/>
      <c r="I49" s="44"/>
    </row>
    <row r="50" spans="1:9" x14ac:dyDescent="0.2">
      <c r="A50" t="s">
        <v>428</v>
      </c>
      <c r="B50" t="s">
        <v>8</v>
      </c>
      <c r="C50" s="10">
        <v>0</v>
      </c>
      <c r="D50" s="10">
        <v>2924.4</v>
      </c>
      <c r="E50" s="10">
        <v>2000</v>
      </c>
      <c r="F50" s="10">
        <v>1950</v>
      </c>
      <c r="G50" s="44">
        <v>1894</v>
      </c>
      <c r="H50" s="44">
        <v>1894</v>
      </c>
      <c r="I50" s="44">
        <v>1622</v>
      </c>
    </row>
    <row r="51" spans="1:9" x14ac:dyDescent="0.2">
      <c r="A51" t="s">
        <v>429</v>
      </c>
      <c r="B51" t="s">
        <v>10</v>
      </c>
      <c r="C51" s="10">
        <v>5000</v>
      </c>
      <c r="D51" s="10">
        <v>9744.48</v>
      </c>
      <c r="E51" s="10">
        <v>30000</v>
      </c>
      <c r="F51" s="10">
        <v>285.64999999999998</v>
      </c>
      <c r="G51" s="44">
        <v>30537.78</v>
      </c>
      <c r="H51" s="44">
        <v>47587</v>
      </c>
      <c r="I51" s="44">
        <v>265</v>
      </c>
    </row>
    <row r="52" spans="1:9" x14ac:dyDescent="0.2">
      <c r="A52" s="29" t="s">
        <v>831</v>
      </c>
      <c r="B52" s="29" t="s">
        <v>12</v>
      </c>
      <c r="C52" s="10">
        <v>0</v>
      </c>
      <c r="D52" s="10">
        <v>0</v>
      </c>
      <c r="E52" s="10">
        <v>0</v>
      </c>
      <c r="F52" s="10">
        <v>0</v>
      </c>
      <c r="G52" s="44">
        <v>808.2</v>
      </c>
      <c r="H52" s="44">
        <v>0</v>
      </c>
      <c r="I52" s="44">
        <v>0</v>
      </c>
    </row>
    <row r="53" spans="1:9" x14ac:dyDescent="0.2">
      <c r="A53" t="s">
        <v>430</v>
      </c>
      <c r="B53" t="s">
        <v>14</v>
      </c>
      <c r="C53" s="10">
        <v>6000</v>
      </c>
      <c r="D53" s="10">
        <v>6917.88</v>
      </c>
      <c r="E53" s="10">
        <v>2500</v>
      </c>
      <c r="F53" s="10">
        <v>4539.97</v>
      </c>
      <c r="G53" s="42">
        <v>3852.84</v>
      </c>
      <c r="H53" s="42">
        <v>2737</v>
      </c>
      <c r="I53" s="44">
        <v>1960</v>
      </c>
    </row>
    <row r="54" spans="1:9" x14ac:dyDescent="0.2">
      <c r="A54" t="s">
        <v>431</v>
      </c>
      <c r="B54" t="s">
        <v>105</v>
      </c>
      <c r="C54" s="10">
        <v>0</v>
      </c>
      <c r="D54" s="10">
        <v>0</v>
      </c>
      <c r="E54" s="10">
        <v>0</v>
      </c>
      <c r="F54" s="10">
        <v>0</v>
      </c>
      <c r="G54" s="42">
        <v>536.17999999999995</v>
      </c>
      <c r="H54" s="42">
        <v>3526</v>
      </c>
      <c r="I54" s="44">
        <v>1019</v>
      </c>
    </row>
    <row r="55" spans="1:9" x14ac:dyDescent="0.2">
      <c r="A55" t="s">
        <v>5</v>
      </c>
      <c r="C55" s="10"/>
      <c r="D55" s="10"/>
      <c r="E55" s="10"/>
      <c r="F55" s="10"/>
      <c r="G55" s="42"/>
      <c r="H55" s="42"/>
      <c r="I55" s="44"/>
    </row>
    <row r="56" spans="1:9" x14ac:dyDescent="0.2">
      <c r="A56" t="s">
        <v>432</v>
      </c>
      <c r="B56" t="s">
        <v>100</v>
      </c>
      <c r="C56" s="10">
        <v>1000</v>
      </c>
      <c r="D56" s="10">
        <v>693.18</v>
      </c>
      <c r="E56" s="10">
        <v>900</v>
      </c>
      <c r="F56" s="10">
        <v>885.39</v>
      </c>
      <c r="G56" s="42">
        <v>646.24</v>
      </c>
      <c r="H56" s="42">
        <v>728</v>
      </c>
      <c r="I56" s="44">
        <v>862</v>
      </c>
    </row>
    <row r="57" spans="1:9" x14ac:dyDescent="0.2">
      <c r="A57" t="s">
        <v>433</v>
      </c>
      <c r="B57" t="s">
        <v>101</v>
      </c>
      <c r="C57" s="10">
        <v>5000</v>
      </c>
      <c r="D57" s="10">
        <v>6006.85</v>
      </c>
      <c r="E57" s="10">
        <v>5000</v>
      </c>
      <c r="F57" s="10">
        <v>4675.09</v>
      </c>
      <c r="G57" s="42">
        <v>5988.61</v>
      </c>
      <c r="H57" s="42">
        <v>4575</v>
      </c>
      <c r="I57" s="44">
        <v>3200</v>
      </c>
    </row>
    <row r="58" spans="1:9" x14ac:dyDescent="0.2">
      <c r="A58" t="s">
        <v>165</v>
      </c>
      <c r="C58" s="10"/>
      <c r="D58" s="10"/>
      <c r="E58" s="10"/>
      <c r="F58" s="10"/>
      <c r="G58" s="42"/>
      <c r="H58" s="42"/>
      <c r="I58" s="44"/>
    </row>
    <row r="59" spans="1:9" x14ac:dyDescent="0.2">
      <c r="A59" t="s">
        <v>434</v>
      </c>
      <c r="B59" t="s">
        <v>167</v>
      </c>
      <c r="C59" s="10">
        <v>0</v>
      </c>
      <c r="D59" s="10">
        <v>0</v>
      </c>
      <c r="E59" s="10">
        <v>0</v>
      </c>
      <c r="F59" s="10">
        <v>85.94</v>
      </c>
      <c r="G59" s="42">
        <v>177.5</v>
      </c>
      <c r="H59" s="42">
        <v>341</v>
      </c>
      <c r="I59" s="44">
        <v>38</v>
      </c>
    </row>
    <row r="60" spans="1:9" x14ac:dyDescent="0.2">
      <c r="A60" t="s">
        <v>153</v>
      </c>
      <c r="C60" s="10"/>
      <c r="D60" s="10"/>
      <c r="E60" s="10"/>
      <c r="F60" s="10"/>
      <c r="G60" s="42"/>
      <c r="H60" s="42"/>
      <c r="I60" s="44"/>
    </row>
    <row r="61" spans="1:9" x14ac:dyDescent="0.2">
      <c r="A61" s="29" t="s">
        <v>977</v>
      </c>
      <c r="B61" s="29" t="s">
        <v>154</v>
      </c>
      <c r="C61" s="10">
        <v>0</v>
      </c>
      <c r="D61" s="10">
        <v>0</v>
      </c>
      <c r="E61" s="10">
        <v>0</v>
      </c>
      <c r="F61" s="10">
        <v>94.25</v>
      </c>
      <c r="G61" s="42">
        <v>0</v>
      </c>
      <c r="H61" s="42">
        <v>0</v>
      </c>
      <c r="I61" s="44">
        <v>0</v>
      </c>
    </row>
    <row r="62" spans="1:9" x14ac:dyDescent="0.2">
      <c r="A62" t="s">
        <v>435</v>
      </c>
      <c r="B62" t="s">
        <v>156</v>
      </c>
      <c r="C62" s="10">
        <v>250</v>
      </c>
      <c r="D62" s="10">
        <v>36.25</v>
      </c>
      <c r="E62" s="10">
        <v>250</v>
      </c>
      <c r="F62" s="10">
        <v>0</v>
      </c>
      <c r="G62" s="42">
        <v>0</v>
      </c>
      <c r="H62" s="42">
        <f>101+56+45+18</f>
        <v>220</v>
      </c>
      <c r="I62" s="44">
        <v>14</v>
      </c>
    </row>
    <row r="63" spans="1:9" x14ac:dyDescent="0.2">
      <c r="A63" t="s">
        <v>146</v>
      </c>
      <c r="C63" s="10"/>
      <c r="D63" s="10"/>
      <c r="E63" s="10"/>
      <c r="F63" s="10"/>
      <c r="G63" s="42"/>
      <c r="H63" s="42"/>
      <c r="I63" s="44"/>
    </row>
    <row r="64" spans="1:9" x14ac:dyDescent="0.2">
      <c r="A64" t="s">
        <v>436</v>
      </c>
      <c r="B64" t="s">
        <v>96</v>
      </c>
      <c r="C64" s="10">
        <v>3200</v>
      </c>
      <c r="D64" s="10">
        <v>1911</v>
      </c>
      <c r="E64" s="10">
        <v>3193</v>
      </c>
      <c r="F64" s="10">
        <v>2096.25</v>
      </c>
      <c r="G64" s="42">
        <v>2903</v>
      </c>
      <c r="H64" s="42">
        <v>2049</v>
      </c>
      <c r="I64" s="44">
        <v>2613</v>
      </c>
    </row>
    <row r="65" spans="1:9" x14ac:dyDescent="0.2">
      <c r="A65" t="s">
        <v>437</v>
      </c>
      <c r="B65" t="s">
        <v>149</v>
      </c>
      <c r="C65" s="10">
        <v>1700</v>
      </c>
      <c r="D65" s="10">
        <v>1574.5</v>
      </c>
      <c r="E65" s="10">
        <v>1649</v>
      </c>
      <c r="F65" s="10">
        <v>1542</v>
      </c>
      <c r="G65" s="42">
        <v>1541</v>
      </c>
      <c r="H65" s="42">
        <v>1093</v>
      </c>
      <c r="I65" s="44">
        <v>1486</v>
      </c>
    </row>
    <row r="66" spans="1:9" x14ac:dyDescent="0.2">
      <c r="A66" t="s">
        <v>438</v>
      </c>
      <c r="B66" t="s">
        <v>150</v>
      </c>
      <c r="C66" s="10">
        <v>1000</v>
      </c>
      <c r="D66" s="10">
        <v>760</v>
      </c>
      <c r="E66" s="10">
        <v>905</v>
      </c>
      <c r="F66" s="10">
        <v>1136</v>
      </c>
      <c r="G66" s="42">
        <v>862</v>
      </c>
      <c r="H66" s="42">
        <v>659</v>
      </c>
      <c r="I66" s="44">
        <v>906</v>
      </c>
    </row>
    <row r="67" spans="1:9" x14ac:dyDescent="0.2">
      <c r="A67" t="s">
        <v>138</v>
      </c>
      <c r="C67" s="10"/>
      <c r="D67" s="10"/>
      <c r="E67" s="10"/>
      <c r="F67" s="10"/>
      <c r="G67" s="42"/>
      <c r="H67" s="42"/>
      <c r="I67" s="44"/>
    </row>
    <row r="68" spans="1:9" x14ac:dyDescent="0.2">
      <c r="A68" t="s">
        <v>439</v>
      </c>
      <c r="B68" t="s">
        <v>139</v>
      </c>
      <c r="C68" s="10">
        <v>0</v>
      </c>
      <c r="D68" s="10">
        <v>0</v>
      </c>
      <c r="E68" s="10">
        <v>1660</v>
      </c>
      <c r="F68" s="10">
        <v>0</v>
      </c>
      <c r="G68" s="42">
        <v>0</v>
      </c>
      <c r="H68" s="42">
        <v>0</v>
      </c>
      <c r="I68" s="44">
        <v>0</v>
      </c>
    </row>
    <row r="69" spans="1:9" x14ac:dyDescent="0.2">
      <c r="A69" t="s">
        <v>774</v>
      </c>
      <c r="B69" t="s">
        <v>141</v>
      </c>
      <c r="C69" s="10">
        <v>8000</v>
      </c>
      <c r="D69" s="10">
        <v>4864.7299999999996</v>
      </c>
      <c r="E69" s="10">
        <v>1500</v>
      </c>
      <c r="F69" s="10">
        <v>3922.07</v>
      </c>
      <c r="G69" s="42">
        <v>2126.86</v>
      </c>
      <c r="H69" s="42">
        <v>973</v>
      </c>
      <c r="I69" s="44">
        <v>0</v>
      </c>
    </row>
    <row r="70" spans="1:9" x14ac:dyDescent="0.2">
      <c r="A70" s="29" t="s">
        <v>803</v>
      </c>
      <c r="B70" s="29" t="s">
        <v>142</v>
      </c>
      <c r="C70" s="10">
        <v>0</v>
      </c>
      <c r="D70" s="10">
        <v>0</v>
      </c>
      <c r="E70" s="10">
        <v>0</v>
      </c>
      <c r="F70" s="10">
        <v>0</v>
      </c>
      <c r="G70" s="42">
        <v>749.11</v>
      </c>
      <c r="H70" s="42">
        <v>904</v>
      </c>
      <c r="I70" s="44">
        <v>0</v>
      </c>
    </row>
    <row r="71" spans="1:9" x14ac:dyDescent="0.2">
      <c r="A71" s="29" t="s">
        <v>585</v>
      </c>
      <c r="C71" s="10"/>
      <c r="D71" s="10"/>
      <c r="E71" s="10"/>
      <c r="F71" s="10"/>
      <c r="G71" s="42"/>
      <c r="H71" s="42"/>
      <c r="I71" s="44"/>
    </row>
    <row r="72" spans="1:9" x14ac:dyDescent="0.2">
      <c r="A72" s="29" t="s">
        <v>786</v>
      </c>
      <c r="B72" s="29" t="s">
        <v>128</v>
      </c>
      <c r="C72" s="10">
        <v>0</v>
      </c>
      <c r="D72" s="10">
        <v>0</v>
      </c>
      <c r="E72" s="10">
        <v>0</v>
      </c>
      <c r="F72" s="10">
        <v>9.6199999999999992</v>
      </c>
      <c r="G72" s="42">
        <v>1967.59</v>
      </c>
      <c r="H72" s="42">
        <v>15230</v>
      </c>
      <c r="I72" s="44">
        <v>6792</v>
      </c>
    </row>
    <row r="73" spans="1:9" x14ac:dyDescent="0.2">
      <c r="A73" t="s">
        <v>577</v>
      </c>
      <c r="C73" s="10"/>
      <c r="D73" s="10"/>
      <c r="E73" s="10"/>
      <c r="F73" s="10"/>
      <c r="G73" s="42"/>
      <c r="H73" s="42"/>
      <c r="I73" s="44"/>
    </row>
    <row r="74" spans="1:9" x14ac:dyDescent="0.2">
      <c r="A74" t="s">
        <v>691</v>
      </c>
      <c r="B74" t="s">
        <v>578</v>
      </c>
      <c r="C74" s="10">
        <v>188000</v>
      </c>
      <c r="D74" s="10">
        <v>174000</v>
      </c>
      <c r="E74" s="10">
        <v>174000</v>
      </c>
      <c r="F74" s="10">
        <v>130000</v>
      </c>
      <c r="G74" s="42">
        <v>292052.55</v>
      </c>
      <c r="H74" s="42">
        <v>110000</v>
      </c>
      <c r="I74" s="44">
        <v>100000</v>
      </c>
    </row>
    <row r="75" spans="1:9" x14ac:dyDescent="0.2">
      <c r="A75" t="s">
        <v>132</v>
      </c>
      <c r="C75" s="10"/>
      <c r="D75" s="10"/>
      <c r="E75" s="10"/>
      <c r="F75" s="10"/>
      <c r="G75" s="42"/>
      <c r="H75" s="42"/>
      <c r="I75" s="44"/>
    </row>
    <row r="76" spans="1:9" x14ac:dyDescent="0.2">
      <c r="A76" t="s">
        <v>689</v>
      </c>
      <c r="B76" t="s">
        <v>133</v>
      </c>
      <c r="C76" s="10">
        <v>0</v>
      </c>
      <c r="D76" s="10">
        <v>0</v>
      </c>
      <c r="E76" s="10">
        <v>0</v>
      </c>
      <c r="F76" s="10">
        <v>0</v>
      </c>
      <c r="G76" s="42">
        <v>0</v>
      </c>
      <c r="H76" s="42">
        <v>11825</v>
      </c>
      <c r="I76" s="44">
        <v>0</v>
      </c>
    </row>
    <row r="77" spans="1:9" x14ac:dyDescent="0.2">
      <c r="A77" t="s">
        <v>440</v>
      </c>
      <c r="B77" t="s">
        <v>135</v>
      </c>
      <c r="C77" s="10">
        <v>5000</v>
      </c>
      <c r="D77" s="10">
        <v>4952</v>
      </c>
      <c r="E77" s="10">
        <v>5000</v>
      </c>
      <c r="F77" s="10">
        <v>0</v>
      </c>
      <c r="G77" s="42">
        <v>437.5</v>
      </c>
      <c r="H77" s="42">
        <v>0</v>
      </c>
      <c r="I77" s="44">
        <v>2644</v>
      </c>
    </row>
    <row r="78" spans="1:9" x14ac:dyDescent="0.2">
      <c r="A78" s="29" t="s">
        <v>830</v>
      </c>
      <c r="B78" s="29" t="s">
        <v>128</v>
      </c>
      <c r="C78" s="10">
        <v>4000</v>
      </c>
      <c r="D78" s="10">
        <v>4155.3599999999997</v>
      </c>
      <c r="E78" s="10">
        <v>0</v>
      </c>
      <c r="F78" s="10">
        <v>4021.33</v>
      </c>
      <c r="G78" s="42">
        <v>2513.5</v>
      </c>
      <c r="H78" s="42">
        <v>0</v>
      </c>
      <c r="I78" s="44">
        <v>0</v>
      </c>
    </row>
    <row r="79" spans="1:9" x14ac:dyDescent="0.2">
      <c r="A79" t="s">
        <v>441</v>
      </c>
      <c r="B79" t="s">
        <v>105</v>
      </c>
      <c r="C79" s="10">
        <v>0</v>
      </c>
      <c r="D79" s="10">
        <v>0</v>
      </c>
      <c r="E79" s="10">
        <v>0</v>
      </c>
      <c r="F79" s="10">
        <v>0</v>
      </c>
      <c r="G79" s="42">
        <v>0</v>
      </c>
      <c r="H79" s="42">
        <v>564</v>
      </c>
      <c r="I79" s="44">
        <v>0</v>
      </c>
    </row>
    <row r="80" spans="1:9" x14ac:dyDescent="0.2">
      <c r="A80" t="s">
        <v>125</v>
      </c>
      <c r="C80" s="10"/>
      <c r="D80" s="10"/>
      <c r="E80" s="10"/>
      <c r="F80" s="10"/>
      <c r="G80" s="42"/>
      <c r="H80" s="42"/>
      <c r="I80" s="44"/>
    </row>
    <row r="81" spans="1:10" x14ac:dyDescent="0.2">
      <c r="A81" t="s">
        <v>442</v>
      </c>
      <c r="B81" t="s">
        <v>126</v>
      </c>
      <c r="C81" s="10">
        <v>0</v>
      </c>
      <c r="D81" s="10">
        <v>0</v>
      </c>
      <c r="E81" s="10">
        <v>0</v>
      </c>
      <c r="F81" s="10">
        <v>4082</v>
      </c>
      <c r="G81" s="42">
        <v>0</v>
      </c>
      <c r="H81" s="42">
        <v>13020</v>
      </c>
      <c r="I81" s="44">
        <f>1872/2</f>
        <v>936</v>
      </c>
    </row>
    <row r="82" spans="1:10" x14ac:dyDescent="0.2">
      <c r="A82" t="s">
        <v>120</v>
      </c>
      <c r="C82" s="10"/>
      <c r="D82" s="10"/>
      <c r="E82" s="10"/>
      <c r="F82" s="10"/>
      <c r="G82" s="42"/>
      <c r="H82" s="42"/>
      <c r="I82" s="44"/>
    </row>
    <row r="83" spans="1:10" x14ac:dyDescent="0.2">
      <c r="A83" t="s">
        <v>443</v>
      </c>
      <c r="B83" t="s">
        <v>104</v>
      </c>
      <c r="C83" s="10">
        <v>2000</v>
      </c>
      <c r="D83" s="10">
        <v>2433.52</v>
      </c>
      <c r="E83" s="10">
        <v>1500</v>
      </c>
      <c r="F83" s="10">
        <v>3088.84</v>
      </c>
      <c r="G83" s="44">
        <v>2743.53</v>
      </c>
      <c r="H83" s="44">
        <v>2196</v>
      </c>
      <c r="I83" s="44">
        <v>2595</v>
      </c>
    </row>
    <row r="84" spans="1:10" x14ac:dyDescent="0.2">
      <c r="A84" t="s">
        <v>444</v>
      </c>
      <c r="B84" t="s">
        <v>102</v>
      </c>
      <c r="C84" s="10">
        <v>700</v>
      </c>
      <c r="D84" s="10">
        <v>122.85</v>
      </c>
      <c r="E84" s="10">
        <v>700</v>
      </c>
      <c r="F84" s="10">
        <v>576.21</v>
      </c>
      <c r="G84" s="44">
        <v>806.97</v>
      </c>
      <c r="H84" s="44">
        <v>1178</v>
      </c>
      <c r="I84" s="44">
        <v>499</v>
      </c>
    </row>
    <row r="85" spans="1:10" x14ac:dyDescent="0.2">
      <c r="A85" t="s">
        <v>445</v>
      </c>
      <c r="B85" t="s">
        <v>1089</v>
      </c>
      <c r="C85" s="129">
        <v>120000</v>
      </c>
      <c r="D85" s="10">
        <v>11526.53</v>
      </c>
      <c r="E85" s="10">
        <v>89000</v>
      </c>
      <c r="F85" s="10">
        <v>0</v>
      </c>
      <c r="G85" s="44">
        <v>19.62</v>
      </c>
      <c r="H85" s="44">
        <f>184+11+14386+4796</f>
        <v>19377</v>
      </c>
      <c r="I85" s="44">
        <v>0</v>
      </c>
    </row>
    <row r="86" spans="1:10" x14ac:dyDescent="0.2">
      <c r="A86" t="s">
        <v>446</v>
      </c>
      <c r="B86" t="s">
        <v>124</v>
      </c>
      <c r="C86" s="10">
        <v>1400000</v>
      </c>
      <c r="D86" s="10">
        <v>871866.55</v>
      </c>
      <c r="E86" s="10">
        <f>F86*104%</f>
        <v>1141741.3800000001</v>
      </c>
      <c r="F86" s="10">
        <v>1097828.25</v>
      </c>
      <c r="G86" s="42">
        <v>1029905.44</v>
      </c>
      <c r="H86" s="42">
        <v>849506</v>
      </c>
      <c r="I86" s="44">
        <v>910069</v>
      </c>
    </row>
    <row r="87" spans="1:10" x14ac:dyDescent="0.2">
      <c r="B87" s="29"/>
      <c r="C87" s="10"/>
      <c r="D87" s="10"/>
      <c r="E87" s="10"/>
      <c r="F87" s="10"/>
      <c r="G87" s="42"/>
      <c r="H87" s="42"/>
      <c r="I87" s="44"/>
      <c r="J87" s="29"/>
    </row>
    <row r="88" spans="1:10" x14ac:dyDescent="0.2">
      <c r="B88" t="s">
        <v>65</v>
      </c>
      <c r="C88" s="129">
        <f>SUM(C18:C87)</f>
        <v>1871889.0615000001</v>
      </c>
      <c r="D88" s="10">
        <f>SUM(D18:D86)</f>
        <v>1192316.6600000001</v>
      </c>
      <c r="E88" s="10">
        <f>SUM(E18:E87)</f>
        <v>1586649.0190000001</v>
      </c>
      <c r="F88" s="10">
        <f>SUM(F18:F86)</f>
        <v>1403871.8</v>
      </c>
      <c r="G88" s="44">
        <f>SUM(G18:G86)</f>
        <v>1543153.4499999997</v>
      </c>
      <c r="H88" s="44">
        <f>SUM(H18:H86)</f>
        <v>1227270</v>
      </c>
      <c r="I88" s="44">
        <f>SUM(I18:I86)</f>
        <v>1158062</v>
      </c>
    </row>
    <row r="89" spans="1:10" x14ac:dyDescent="0.2">
      <c r="A89" s="13"/>
      <c r="C89" s="10"/>
      <c r="D89" s="10"/>
      <c r="I89" s="50"/>
    </row>
    <row r="90" spans="1:10" x14ac:dyDescent="0.2">
      <c r="B90" s="63" t="s">
        <v>981</v>
      </c>
      <c r="C90" s="10">
        <v>0</v>
      </c>
      <c r="D90" s="10">
        <f>'Electric Infrastructure'!C8</f>
        <v>171742.64</v>
      </c>
      <c r="E90" s="10">
        <v>0</v>
      </c>
      <c r="F90" s="10">
        <v>158691.70000000001</v>
      </c>
      <c r="G90" s="10">
        <v>0</v>
      </c>
      <c r="H90" s="10">
        <v>0</v>
      </c>
      <c r="I90" s="10">
        <v>0</v>
      </c>
    </row>
    <row r="96" spans="1:10" x14ac:dyDescent="0.2">
      <c r="C96" s="22"/>
    </row>
  </sheetData>
  <phoneticPr fontId="2" type="noConversion"/>
  <pageMargins left="0.25" right="0.25" top="0.75" bottom="0.75" header="0.3" footer="0.3"/>
  <pageSetup orientation="landscape" r:id="rId1"/>
  <headerFooter alignWithMargins="0"/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79"/>
  <sheetViews>
    <sheetView topLeftCell="A37" zoomScaleNormal="100" workbookViewId="0">
      <selection activeCell="E79" sqref="E79"/>
    </sheetView>
  </sheetViews>
  <sheetFormatPr defaultRowHeight="12.75" x14ac:dyDescent="0.2"/>
  <cols>
    <col min="1" max="1" width="18.42578125" customWidth="1"/>
    <col min="2" max="2" width="27.42578125" customWidth="1"/>
    <col min="3" max="3" width="5.7109375" customWidth="1"/>
    <col min="4" max="7" width="11.7109375" customWidth="1"/>
    <col min="8" max="9" width="10.7109375" customWidth="1"/>
    <col min="10" max="10" width="11.28515625" customWidth="1"/>
  </cols>
  <sheetData>
    <row r="1" spans="1:13" ht="15.75" x14ac:dyDescent="0.25">
      <c r="B1" s="14" t="s">
        <v>2</v>
      </c>
      <c r="D1" s="1">
        <v>2015</v>
      </c>
      <c r="E1" s="51">
        <v>2014</v>
      </c>
      <c r="F1" s="51">
        <v>2014</v>
      </c>
      <c r="G1" s="51">
        <v>2013</v>
      </c>
      <c r="H1" s="51">
        <v>2012</v>
      </c>
      <c r="I1" s="59">
        <v>2011</v>
      </c>
      <c r="J1" s="17">
        <v>2010</v>
      </c>
    </row>
    <row r="2" spans="1:13" x14ac:dyDescent="0.2">
      <c r="D2" s="1" t="s">
        <v>596</v>
      </c>
      <c r="E2" s="51" t="s">
        <v>1076</v>
      </c>
      <c r="F2" s="51" t="s">
        <v>596</v>
      </c>
      <c r="G2" s="51" t="s">
        <v>597</v>
      </c>
      <c r="H2" s="51" t="s">
        <v>597</v>
      </c>
      <c r="I2" s="51" t="s">
        <v>597</v>
      </c>
      <c r="J2" s="51" t="s">
        <v>597</v>
      </c>
    </row>
    <row r="3" spans="1:13" x14ac:dyDescent="0.2">
      <c r="A3" t="s">
        <v>47</v>
      </c>
    </row>
    <row r="4" spans="1:13" x14ac:dyDescent="0.2">
      <c r="A4" s="13" t="s">
        <v>680</v>
      </c>
      <c r="B4" s="13" t="s">
        <v>677</v>
      </c>
      <c r="D4" s="10">
        <v>0</v>
      </c>
      <c r="E4" s="10">
        <v>450</v>
      </c>
      <c r="F4" s="10">
        <v>500</v>
      </c>
      <c r="G4" s="10">
        <v>150</v>
      </c>
      <c r="H4" s="10">
        <v>300</v>
      </c>
      <c r="I4" s="10">
        <v>150</v>
      </c>
      <c r="J4" s="10">
        <v>0</v>
      </c>
    </row>
    <row r="5" spans="1:13" x14ac:dyDescent="0.2">
      <c r="A5" t="s">
        <v>187</v>
      </c>
      <c r="B5" t="s">
        <v>567</v>
      </c>
      <c r="D5" s="10">
        <f>F5*104%</f>
        <v>318156.29580800002</v>
      </c>
      <c r="E5" s="10">
        <v>251505.06</v>
      </c>
      <c r="F5" s="10">
        <f>G5*1.04</f>
        <v>305919.51520000002</v>
      </c>
      <c r="G5" s="10">
        <v>294153.38</v>
      </c>
      <c r="H5" s="41">
        <v>243279.15</v>
      </c>
      <c r="I5" s="41">
        <v>136897</v>
      </c>
      <c r="J5" s="41">
        <v>146731</v>
      </c>
    </row>
    <row r="6" spans="1:13" x14ac:dyDescent="0.2">
      <c r="A6" t="s">
        <v>188</v>
      </c>
      <c r="B6" t="s">
        <v>24</v>
      </c>
      <c r="D6" s="10">
        <f>F6*104%</f>
        <v>1168.8418560000002</v>
      </c>
      <c r="E6" s="10">
        <v>1027.5899999999999</v>
      </c>
      <c r="F6" s="10">
        <f>G6*1.04</f>
        <v>1123.8864000000001</v>
      </c>
      <c r="G6" s="10">
        <v>1080.6600000000001</v>
      </c>
      <c r="H6" s="42">
        <v>1124.98</v>
      </c>
      <c r="I6" s="42">
        <v>953</v>
      </c>
      <c r="J6" s="42">
        <v>825</v>
      </c>
    </row>
    <row r="7" spans="1:13" x14ac:dyDescent="0.2">
      <c r="A7" s="29" t="s">
        <v>855</v>
      </c>
      <c r="B7" s="29" t="s">
        <v>856</v>
      </c>
      <c r="D7" s="10">
        <v>0</v>
      </c>
      <c r="E7" s="10">
        <v>0</v>
      </c>
      <c r="F7" s="10">
        <v>0</v>
      </c>
      <c r="G7" s="10">
        <v>0</v>
      </c>
      <c r="H7" s="42">
        <v>774.37</v>
      </c>
      <c r="I7" s="42">
        <v>0</v>
      </c>
      <c r="J7" s="42">
        <v>0</v>
      </c>
      <c r="M7">
        <f>186577/8</f>
        <v>23322.125</v>
      </c>
    </row>
    <row r="8" spans="1:13" x14ac:dyDescent="0.2">
      <c r="A8" s="29" t="s">
        <v>978</v>
      </c>
      <c r="B8" s="29" t="s">
        <v>842</v>
      </c>
      <c r="D8" s="10">
        <v>0</v>
      </c>
      <c r="E8" s="10">
        <v>591.52</v>
      </c>
      <c r="F8" s="10">
        <v>0</v>
      </c>
      <c r="G8" s="10">
        <v>1142.98</v>
      </c>
      <c r="H8" s="42">
        <v>0</v>
      </c>
      <c r="I8" s="42">
        <v>0</v>
      </c>
      <c r="J8" s="42">
        <v>0</v>
      </c>
      <c r="M8">
        <f>23322*12</f>
        <v>279864</v>
      </c>
    </row>
    <row r="9" spans="1:13" x14ac:dyDescent="0.2">
      <c r="A9" t="s">
        <v>189</v>
      </c>
      <c r="B9" t="s">
        <v>190</v>
      </c>
      <c r="D9" s="10">
        <v>0</v>
      </c>
      <c r="E9" s="10">
        <v>600</v>
      </c>
      <c r="F9" s="10">
        <f>G9*1.04</f>
        <v>260</v>
      </c>
      <c r="G9" s="10">
        <v>250</v>
      </c>
      <c r="H9" s="42">
        <v>300</v>
      </c>
      <c r="I9" s="42">
        <f>453+150</f>
        <v>603</v>
      </c>
      <c r="J9" s="42">
        <f>200+10+247</f>
        <v>457</v>
      </c>
    </row>
    <row r="10" spans="1:13" x14ac:dyDescent="0.2">
      <c r="B10" s="29" t="s">
        <v>713</v>
      </c>
      <c r="D10" s="10">
        <v>25500</v>
      </c>
      <c r="E10" s="10">
        <v>0</v>
      </c>
      <c r="F10" s="10">
        <v>0</v>
      </c>
      <c r="G10" s="10">
        <v>0</v>
      </c>
      <c r="H10" s="41">
        <v>0</v>
      </c>
      <c r="I10" s="41">
        <v>0</v>
      </c>
      <c r="J10" s="41">
        <v>3702</v>
      </c>
    </row>
    <row r="11" spans="1:13" x14ac:dyDescent="0.2">
      <c r="B11" s="29" t="s">
        <v>1038</v>
      </c>
      <c r="D11" s="10">
        <v>0</v>
      </c>
      <c r="E11" s="10">
        <v>0</v>
      </c>
      <c r="F11" s="10">
        <v>0</v>
      </c>
      <c r="G11" s="10">
        <v>0</v>
      </c>
      <c r="H11" s="41">
        <v>0</v>
      </c>
      <c r="I11" s="41">
        <v>0</v>
      </c>
      <c r="J11" s="41">
        <v>0</v>
      </c>
    </row>
    <row r="12" spans="1:13" x14ac:dyDescent="0.2">
      <c r="D12" s="10"/>
      <c r="E12" s="10"/>
      <c r="F12" s="10"/>
      <c r="G12" s="10"/>
      <c r="H12" s="42"/>
      <c r="I12" s="42"/>
      <c r="J12" s="42"/>
    </row>
    <row r="13" spans="1:13" x14ac:dyDescent="0.2">
      <c r="B13" s="26" t="s">
        <v>65</v>
      </c>
      <c r="D13" s="10">
        <f>SUM(D4:D11)</f>
        <v>344825.13766400004</v>
      </c>
      <c r="E13" s="10">
        <f>SUM(E4:E11)</f>
        <v>254174.16999999998</v>
      </c>
      <c r="F13" s="10">
        <f t="shared" ref="F13:J13" si="0">SUM(F4:F12)</f>
        <v>307803.40160000004</v>
      </c>
      <c r="G13" s="10">
        <f t="shared" si="0"/>
        <v>296777.01999999996</v>
      </c>
      <c r="H13" s="41">
        <f t="shared" si="0"/>
        <v>245778.5</v>
      </c>
      <c r="I13" s="41">
        <f t="shared" si="0"/>
        <v>138603</v>
      </c>
      <c r="J13" s="41">
        <f t="shared" si="0"/>
        <v>151715</v>
      </c>
    </row>
    <row r="14" spans="1:13" x14ac:dyDescent="0.2">
      <c r="A14" t="s">
        <v>89</v>
      </c>
      <c r="D14" s="10"/>
      <c r="E14" s="10"/>
      <c r="F14" s="10"/>
      <c r="G14" s="10"/>
      <c r="H14" s="42"/>
      <c r="I14" s="42"/>
      <c r="J14" s="42"/>
    </row>
    <row r="15" spans="1:13" x14ac:dyDescent="0.2">
      <c r="A15" t="s">
        <v>223</v>
      </c>
      <c r="D15" s="10"/>
      <c r="E15" s="10"/>
      <c r="F15" s="10"/>
      <c r="G15" s="10"/>
      <c r="H15" s="42"/>
      <c r="I15" s="42"/>
      <c r="J15" s="42"/>
    </row>
    <row r="16" spans="1:13" x14ac:dyDescent="0.2">
      <c r="A16" t="s">
        <v>447</v>
      </c>
      <c r="B16" t="s">
        <v>109</v>
      </c>
      <c r="D16" s="10">
        <v>19708</v>
      </c>
      <c r="E16" s="10">
        <v>14857.56</v>
      </c>
      <c r="F16" s="10">
        <v>18949</v>
      </c>
      <c r="G16" s="10">
        <v>29242.51</v>
      </c>
      <c r="H16" s="41">
        <v>35880.78</v>
      </c>
      <c r="I16" s="41">
        <v>33646</v>
      </c>
      <c r="J16" s="41">
        <v>33291</v>
      </c>
    </row>
    <row r="17" spans="1:10" x14ac:dyDescent="0.2">
      <c r="A17" t="s">
        <v>448</v>
      </c>
      <c r="B17" t="s">
        <v>110</v>
      </c>
      <c r="D17" s="10">
        <v>4000</v>
      </c>
      <c r="E17" s="10">
        <v>4759.8599999999997</v>
      </c>
      <c r="F17" s="10">
        <v>2000</v>
      </c>
      <c r="G17" s="10">
        <v>4764.05</v>
      </c>
      <c r="H17" s="41">
        <v>3598.59</v>
      </c>
      <c r="I17" s="41">
        <v>3858</v>
      </c>
      <c r="J17" s="41">
        <v>3492</v>
      </c>
    </row>
    <row r="18" spans="1:10" x14ac:dyDescent="0.2">
      <c r="A18" t="s">
        <v>219</v>
      </c>
      <c r="D18" s="10"/>
      <c r="E18" s="10"/>
      <c r="F18" s="10"/>
      <c r="G18" s="10"/>
      <c r="H18" s="42"/>
      <c r="I18" s="42"/>
      <c r="J18" s="42"/>
    </row>
    <row r="19" spans="1:10" x14ac:dyDescent="0.2">
      <c r="A19" t="s">
        <v>449</v>
      </c>
      <c r="B19" t="s">
        <v>221</v>
      </c>
      <c r="D19" s="10">
        <f>SUM(D16:D17)*0.075</f>
        <v>1778.1</v>
      </c>
      <c r="E19" s="10">
        <v>1547.61</v>
      </c>
      <c r="F19" s="10">
        <f>(F16+F17)*0.0725</f>
        <v>1518.8024999999998</v>
      </c>
      <c r="G19" s="10">
        <v>2520.9899999999998</v>
      </c>
      <c r="H19" s="41">
        <v>2862.35</v>
      </c>
      <c r="I19" s="41">
        <v>2715</v>
      </c>
      <c r="J19" s="41">
        <v>2575</v>
      </c>
    </row>
    <row r="20" spans="1:10" x14ac:dyDescent="0.2">
      <c r="A20" t="s">
        <v>450</v>
      </c>
      <c r="B20" t="s">
        <v>92</v>
      </c>
      <c r="D20" s="10">
        <f>SUM(D16:D17)*0.0625</f>
        <v>1481.75</v>
      </c>
      <c r="E20" s="10">
        <v>1322.75</v>
      </c>
      <c r="F20" s="10">
        <f>SUM(F16:F17)*0.062</f>
        <v>1298.838</v>
      </c>
      <c r="G20" s="10">
        <v>2102.13</v>
      </c>
      <c r="H20" s="41">
        <v>2399.38</v>
      </c>
      <c r="I20" s="41">
        <v>2262</v>
      </c>
      <c r="J20" s="41">
        <v>2221</v>
      </c>
    </row>
    <row r="21" spans="1:10" x14ac:dyDescent="0.2">
      <c r="A21" t="s">
        <v>451</v>
      </c>
      <c r="B21" t="s">
        <v>94</v>
      </c>
      <c r="D21" s="10">
        <f>SUM(D16:D17)*0.0145</f>
        <v>343.76600000000002</v>
      </c>
      <c r="E21" s="10">
        <v>309.37</v>
      </c>
      <c r="F21" s="10">
        <f>SUM(F16:F17)*0.0145</f>
        <v>303.76050000000004</v>
      </c>
      <c r="G21" s="10">
        <v>491.59</v>
      </c>
      <c r="H21" s="41">
        <v>561.16</v>
      </c>
      <c r="I21" s="41">
        <v>529</v>
      </c>
      <c r="J21" s="41">
        <v>519</v>
      </c>
    </row>
    <row r="22" spans="1:10" x14ac:dyDescent="0.2">
      <c r="A22" t="s">
        <v>214</v>
      </c>
      <c r="D22" s="10"/>
      <c r="E22" s="10"/>
      <c r="F22" s="10"/>
      <c r="G22" s="10"/>
      <c r="H22" s="42"/>
      <c r="I22" s="42"/>
      <c r="J22" s="42"/>
    </row>
    <row r="23" spans="1:10" x14ac:dyDescent="0.2">
      <c r="A23" t="s">
        <v>452</v>
      </c>
      <c r="B23" t="s">
        <v>216</v>
      </c>
      <c r="D23" s="10">
        <f>803*6</f>
        <v>4818</v>
      </c>
      <c r="E23" s="10">
        <v>4143.46</v>
      </c>
      <c r="F23" s="10">
        <f>803*6</f>
        <v>4818</v>
      </c>
      <c r="G23" s="10">
        <v>7443.23</v>
      </c>
      <c r="H23" s="41">
        <v>9402.0300000000007</v>
      </c>
      <c r="I23" s="41">
        <v>9496</v>
      </c>
      <c r="J23" s="41">
        <v>8689</v>
      </c>
    </row>
    <row r="24" spans="1:10" x14ac:dyDescent="0.2">
      <c r="A24" t="s">
        <v>453</v>
      </c>
      <c r="B24" t="s">
        <v>218</v>
      </c>
      <c r="D24" s="10">
        <f>56.61*6</f>
        <v>339.65999999999997</v>
      </c>
      <c r="E24" s="10">
        <v>292.08999999999997</v>
      </c>
      <c r="F24" s="10">
        <f>56.61*6</f>
        <v>339.65999999999997</v>
      </c>
      <c r="G24" s="10">
        <v>396.76</v>
      </c>
      <c r="H24" s="42">
        <v>416.77</v>
      </c>
      <c r="I24" s="42">
        <v>646</v>
      </c>
      <c r="J24" s="42">
        <v>638</v>
      </c>
    </row>
    <row r="25" spans="1:10" x14ac:dyDescent="0.2">
      <c r="A25" s="29" t="s">
        <v>852</v>
      </c>
      <c r="D25" s="10"/>
      <c r="E25" s="10"/>
      <c r="F25" s="10"/>
      <c r="G25" s="10"/>
      <c r="H25" s="42"/>
      <c r="I25" s="42"/>
      <c r="J25" s="42"/>
    </row>
    <row r="26" spans="1:10" x14ac:dyDescent="0.2">
      <c r="A26" s="29" t="s">
        <v>857</v>
      </c>
      <c r="B26" s="29" t="s">
        <v>839</v>
      </c>
      <c r="D26" s="10">
        <v>0</v>
      </c>
      <c r="E26" s="10">
        <v>0</v>
      </c>
      <c r="F26" s="10">
        <v>0</v>
      </c>
      <c r="G26" s="10">
        <v>0</v>
      </c>
      <c r="H26" s="42">
        <v>1320.76</v>
      </c>
      <c r="I26" s="42">
        <v>0</v>
      </c>
      <c r="J26" s="42">
        <v>0</v>
      </c>
    </row>
    <row r="27" spans="1:10" x14ac:dyDescent="0.2">
      <c r="A27" t="s">
        <v>50</v>
      </c>
      <c r="D27" s="10"/>
      <c r="E27" s="10"/>
      <c r="F27" s="10"/>
      <c r="G27" s="10"/>
      <c r="H27" s="42"/>
      <c r="I27" s="42"/>
      <c r="J27" s="42"/>
    </row>
    <row r="28" spans="1:10" x14ac:dyDescent="0.2">
      <c r="A28" t="s">
        <v>454</v>
      </c>
      <c r="B28" t="s">
        <v>213</v>
      </c>
      <c r="D28" s="10">
        <v>3000</v>
      </c>
      <c r="E28" s="10">
        <v>0</v>
      </c>
      <c r="F28" s="10">
        <v>3119</v>
      </c>
      <c r="G28" s="10">
        <v>1525</v>
      </c>
      <c r="H28" s="41">
        <v>1470</v>
      </c>
      <c r="I28" s="41">
        <v>4270</v>
      </c>
      <c r="J28" s="41">
        <v>1730</v>
      </c>
    </row>
    <row r="29" spans="1:10" x14ac:dyDescent="0.2">
      <c r="A29" t="s">
        <v>36</v>
      </c>
      <c r="D29" s="10"/>
      <c r="E29" s="10"/>
      <c r="F29" s="10"/>
      <c r="G29" s="10"/>
      <c r="H29" s="42"/>
      <c r="I29" s="42"/>
      <c r="J29" s="42"/>
    </row>
    <row r="30" spans="1:10" x14ac:dyDescent="0.2">
      <c r="A30" s="13" t="s">
        <v>671</v>
      </c>
      <c r="B30" t="s">
        <v>49</v>
      </c>
      <c r="D30" s="10">
        <v>0</v>
      </c>
      <c r="E30" s="10">
        <v>0</v>
      </c>
      <c r="F30" s="10">
        <v>0</v>
      </c>
      <c r="G30" s="10">
        <v>0</v>
      </c>
      <c r="H30" s="42">
        <v>0</v>
      </c>
      <c r="I30" s="42">
        <f>36+18</f>
        <v>54</v>
      </c>
      <c r="J30" s="42">
        <v>146</v>
      </c>
    </row>
    <row r="31" spans="1:10" x14ac:dyDescent="0.2">
      <c r="A31" t="s">
        <v>180</v>
      </c>
      <c r="D31" s="10"/>
      <c r="E31" s="10"/>
      <c r="F31" s="10"/>
      <c r="G31" s="10"/>
      <c r="H31" s="42"/>
      <c r="I31" s="42"/>
      <c r="J31" s="42"/>
    </row>
    <row r="32" spans="1:10" x14ac:dyDescent="0.2">
      <c r="A32" s="13" t="s">
        <v>669</v>
      </c>
      <c r="B32" s="13" t="s">
        <v>670</v>
      </c>
      <c r="D32" s="10">
        <v>2500</v>
      </c>
      <c r="E32" s="10">
        <v>1476.83</v>
      </c>
      <c r="F32" s="10">
        <v>0</v>
      </c>
      <c r="G32" s="10">
        <v>1955.2</v>
      </c>
      <c r="H32" s="42">
        <v>1832.68</v>
      </c>
      <c r="I32" s="42">
        <f>63+1503</f>
        <v>1566</v>
      </c>
      <c r="J32" s="42">
        <v>835</v>
      </c>
    </row>
    <row r="33" spans="1:11" x14ac:dyDescent="0.2">
      <c r="A33" t="s">
        <v>455</v>
      </c>
      <c r="B33" t="s">
        <v>34</v>
      </c>
      <c r="D33" s="10">
        <v>10000</v>
      </c>
      <c r="E33" s="10">
        <v>7285</v>
      </c>
      <c r="F33" s="10">
        <v>5500</v>
      </c>
      <c r="G33" s="10">
        <v>6414.42</v>
      </c>
      <c r="H33" s="42">
        <v>3893.58</v>
      </c>
      <c r="I33" s="42">
        <v>5431</v>
      </c>
      <c r="J33" s="42">
        <v>2942</v>
      </c>
    </row>
    <row r="34" spans="1:11" x14ac:dyDescent="0.2">
      <c r="A34" t="s">
        <v>456</v>
      </c>
      <c r="B34" t="s">
        <v>35</v>
      </c>
      <c r="D34" s="10">
        <v>4900</v>
      </c>
      <c r="E34" s="10">
        <v>5365.47</v>
      </c>
      <c r="F34" s="10">
        <v>3200</v>
      </c>
      <c r="G34" s="10">
        <v>44808.72</v>
      </c>
      <c r="H34" s="42">
        <v>3216.99</v>
      </c>
      <c r="I34" s="42">
        <v>2412</v>
      </c>
      <c r="J34" s="42">
        <v>3642</v>
      </c>
    </row>
    <row r="35" spans="1:11" x14ac:dyDescent="0.2">
      <c r="A35" t="s">
        <v>23</v>
      </c>
      <c r="D35" s="10"/>
      <c r="E35" s="10"/>
      <c r="F35" s="10"/>
      <c r="G35" s="10"/>
      <c r="H35" s="42"/>
      <c r="I35" s="42"/>
      <c r="J35" s="42"/>
    </row>
    <row r="36" spans="1:11" x14ac:dyDescent="0.2">
      <c r="A36" t="s">
        <v>457</v>
      </c>
      <c r="B36" t="s">
        <v>171</v>
      </c>
      <c r="D36" s="10">
        <v>5500</v>
      </c>
      <c r="E36" s="10">
        <v>3100.91</v>
      </c>
      <c r="F36" s="10">
        <v>5500</v>
      </c>
      <c r="G36" s="10">
        <v>46052.99</v>
      </c>
      <c r="H36" s="42">
        <v>7990.79</v>
      </c>
      <c r="I36" s="42">
        <v>3075</v>
      </c>
      <c r="J36" s="42">
        <v>8303</v>
      </c>
    </row>
    <row r="37" spans="1:11" x14ac:dyDescent="0.2">
      <c r="A37" s="29" t="s">
        <v>979</v>
      </c>
      <c r="B37" s="29" t="s">
        <v>174</v>
      </c>
      <c r="D37" s="10">
        <v>0</v>
      </c>
      <c r="E37" s="10">
        <v>0</v>
      </c>
      <c r="F37" s="10">
        <v>0</v>
      </c>
      <c r="G37" s="10">
        <v>565.5</v>
      </c>
      <c r="H37" s="42">
        <v>0</v>
      </c>
      <c r="I37" s="42">
        <v>0</v>
      </c>
      <c r="J37" s="42">
        <v>0</v>
      </c>
    </row>
    <row r="38" spans="1:11" x14ac:dyDescent="0.2">
      <c r="A38" s="13" t="s">
        <v>666</v>
      </c>
      <c r="B38" s="13" t="s">
        <v>667</v>
      </c>
      <c r="D38" s="10">
        <v>0</v>
      </c>
      <c r="E38" s="10">
        <v>239.49</v>
      </c>
      <c r="F38" s="10">
        <v>0</v>
      </c>
      <c r="G38" s="10">
        <v>0</v>
      </c>
      <c r="H38" s="42">
        <v>609.05999999999995</v>
      </c>
      <c r="I38" s="42">
        <v>499</v>
      </c>
      <c r="J38" s="42">
        <v>0</v>
      </c>
    </row>
    <row r="39" spans="1:11" x14ac:dyDescent="0.2">
      <c r="A39" s="13" t="s">
        <v>668</v>
      </c>
      <c r="B39" s="13" t="s">
        <v>178</v>
      </c>
      <c r="D39" s="10">
        <v>0</v>
      </c>
      <c r="E39" s="10">
        <v>0</v>
      </c>
      <c r="F39" s="10">
        <v>0</v>
      </c>
      <c r="G39" s="10">
        <v>0</v>
      </c>
      <c r="H39" s="41">
        <v>0</v>
      </c>
      <c r="I39" s="41">
        <v>0</v>
      </c>
      <c r="J39" s="41">
        <v>0</v>
      </c>
    </row>
    <row r="40" spans="1:11" x14ac:dyDescent="0.2">
      <c r="A40" s="29" t="s">
        <v>862</v>
      </c>
      <c r="B40" s="29" t="s">
        <v>770</v>
      </c>
      <c r="D40" s="10">
        <v>0</v>
      </c>
      <c r="E40" s="10">
        <v>0</v>
      </c>
      <c r="F40" s="10">
        <v>0</v>
      </c>
      <c r="G40" s="10">
        <v>11.54</v>
      </c>
      <c r="H40" s="41">
        <v>34.619999999999997</v>
      </c>
      <c r="I40" s="41">
        <v>0</v>
      </c>
      <c r="J40" s="41">
        <v>0</v>
      </c>
    </row>
    <row r="41" spans="1:11" x14ac:dyDescent="0.2">
      <c r="A41" t="s">
        <v>6</v>
      </c>
      <c r="D41" s="10"/>
      <c r="E41" s="10"/>
      <c r="F41" s="10"/>
      <c r="G41" s="10"/>
      <c r="H41" s="42"/>
      <c r="I41" s="42"/>
      <c r="J41" s="42"/>
    </row>
    <row r="42" spans="1:11" x14ac:dyDescent="0.2">
      <c r="A42" t="s">
        <v>458</v>
      </c>
      <c r="B42" t="s">
        <v>8</v>
      </c>
      <c r="D42" s="10">
        <v>0</v>
      </c>
      <c r="E42" s="10">
        <v>2924.4</v>
      </c>
      <c r="F42" s="10">
        <v>2000</v>
      </c>
      <c r="G42" s="10">
        <v>1950</v>
      </c>
      <c r="H42" s="42">
        <v>1894</v>
      </c>
      <c r="I42" s="42">
        <v>1894</v>
      </c>
      <c r="J42" s="42">
        <v>1622</v>
      </c>
    </row>
    <row r="43" spans="1:11" x14ac:dyDescent="0.2">
      <c r="A43" t="s">
        <v>459</v>
      </c>
      <c r="B43" t="s">
        <v>10</v>
      </c>
      <c r="D43" s="10">
        <v>10000</v>
      </c>
      <c r="E43" s="10">
        <v>495</v>
      </c>
      <c r="F43" s="10">
        <v>12500</v>
      </c>
      <c r="G43" s="10">
        <v>645</v>
      </c>
      <c r="H43" s="41">
        <v>4569</v>
      </c>
      <c r="I43" s="41">
        <v>10053</v>
      </c>
      <c r="J43" s="41">
        <v>3038</v>
      </c>
    </row>
    <row r="44" spans="1:11" x14ac:dyDescent="0.2">
      <c r="A44" t="s">
        <v>460</v>
      </c>
      <c r="B44" t="s">
        <v>14</v>
      </c>
      <c r="D44" s="10">
        <v>0</v>
      </c>
      <c r="E44" s="10">
        <v>0</v>
      </c>
      <c r="F44" s="10">
        <v>0</v>
      </c>
      <c r="G44" s="10">
        <v>0</v>
      </c>
      <c r="H44" s="42">
        <v>0</v>
      </c>
      <c r="I44" s="42">
        <v>0</v>
      </c>
      <c r="J44" s="42">
        <v>0</v>
      </c>
    </row>
    <row r="45" spans="1:11" x14ac:dyDescent="0.2">
      <c r="A45" t="s">
        <v>461</v>
      </c>
      <c r="B45" t="s">
        <v>105</v>
      </c>
      <c r="D45" s="10">
        <v>0</v>
      </c>
      <c r="E45" s="10">
        <v>0</v>
      </c>
      <c r="F45" s="10">
        <v>0</v>
      </c>
      <c r="G45" s="10">
        <v>0</v>
      </c>
      <c r="H45" s="42">
        <v>0</v>
      </c>
      <c r="I45" s="42">
        <v>0</v>
      </c>
      <c r="J45" s="42">
        <v>0</v>
      </c>
      <c r="K45" s="29"/>
    </row>
    <row r="46" spans="1:11" x14ac:dyDescent="0.2">
      <c r="A46" t="s">
        <v>5</v>
      </c>
      <c r="D46" s="10"/>
      <c r="E46" s="10"/>
      <c r="F46" s="10"/>
      <c r="G46" s="10"/>
      <c r="H46" s="42"/>
      <c r="I46" s="42"/>
      <c r="J46" s="42"/>
    </row>
    <row r="47" spans="1:11" x14ac:dyDescent="0.2">
      <c r="A47" t="s">
        <v>462</v>
      </c>
      <c r="B47" t="s">
        <v>100</v>
      </c>
      <c r="D47" s="10">
        <v>500</v>
      </c>
      <c r="E47" s="10">
        <v>287.7</v>
      </c>
      <c r="F47" s="10">
        <v>600</v>
      </c>
      <c r="G47" s="10">
        <v>371.29</v>
      </c>
      <c r="H47" s="42">
        <v>363.22</v>
      </c>
      <c r="I47" s="42">
        <v>377</v>
      </c>
      <c r="J47" s="42">
        <v>375</v>
      </c>
    </row>
    <row r="48" spans="1:11" x14ac:dyDescent="0.2">
      <c r="A48" s="13" t="s">
        <v>665</v>
      </c>
      <c r="B48" s="13" t="s">
        <v>101</v>
      </c>
      <c r="D48" s="10">
        <v>0</v>
      </c>
      <c r="E48" s="10">
        <v>0</v>
      </c>
      <c r="F48" s="10">
        <v>0</v>
      </c>
      <c r="G48" s="10">
        <v>0</v>
      </c>
      <c r="H48" s="42">
        <v>44.15</v>
      </c>
      <c r="I48" s="42">
        <v>26</v>
      </c>
      <c r="J48" s="42">
        <v>5</v>
      </c>
    </row>
    <row r="49" spans="1:10" x14ac:dyDescent="0.2">
      <c r="A49" t="s">
        <v>165</v>
      </c>
      <c r="D49" s="10"/>
      <c r="E49" s="10"/>
      <c r="F49" s="10"/>
      <c r="G49" s="10"/>
      <c r="H49" s="42"/>
      <c r="I49" s="42"/>
      <c r="J49" s="42"/>
    </row>
    <row r="50" spans="1:10" x14ac:dyDescent="0.2">
      <c r="A50" t="s">
        <v>463</v>
      </c>
      <c r="B50" t="s">
        <v>167</v>
      </c>
      <c r="D50" s="10">
        <v>0</v>
      </c>
      <c r="E50" s="10">
        <v>0</v>
      </c>
      <c r="F50" s="10">
        <v>0</v>
      </c>
      <c r="G50" s="10">
        <v>0</v>
      </c>
      <c r="H50" s="42">
        <v>0</v>
      </c>
      <c r="I50" s="42">
        <v>63</v>
      </c>
      <c r="J50" s="42">
        <v>230</v>
      </c>
    </row>
    <row r="51" spans="1:10" x14ac:dyDescent="0.2">
      <c r="A51" t="s">
        <v>153</v>
      </c>
      <c r="D51" s="10"/>
      <c r="E51" s="10"/>
      <c r="F51" s="10"/>
      <c r="G51" s="10"/>
      <c r="H51" s="42"/>
      <c r="I51" s="42"/>
      <c r="J51" s="42"/>
    </row>
    <row r="52" spans="1:10" x14ac:dyDescent="0.2">
      <c r="A52" t="s">
        <v>464</v>
      </c>
      <c r="B52" t="s">
        <v>154</v>
      </c>
      <c r="D52" s="10">
        <v>350</v>
      </c>
      <c r="E52" s="10">
        <v>340.75</v>
      </c>
      <c r="F52" s="10">
        <v>350</v>
      </c>
      <c r="G52" s="10">
        <v>340.75</v>
      </c>
      <c r="H52" s="42">
        <v>0</v>
      </c>
      <c r="I52" s="42">
        <v>294</v>
      </c>
      <c r="J52" s="42">
        <v>338</v>
      </c>
    </row>
    <row r="53" spans="1:10" x14ac:dyDescent="0.2">
      <c r="A53" t="s">
        <v>465</v>
      </c>
      <c r="B53" t="s">
        <v>156</v>
      </c>
      <c r="D53" s="10">
        <v>0</v>
      </c>
      <c r="E53" s="10">
        <v>0</v>
      </c>
      <c r="F53" s="10">
        <v>0</v>
      </c>
      <c r="G53" s="10">
        <v>0</v>
      </c>
      <c r="H53" s="42">
        <v>349.5</v>
      </c>
      <c r="I53" s="42">
        <v>21</v>
      </c>
      <c r="J53" s="42">
        <v>41</v>
      </c>
    </row>
    <row r="54" spans="1:10" x14ac:dyDescent="0.2">
      <c r="A54" t="s">
        <v>146</v>
      </c>
      <c r="D54" s="10"/>
      <c r="E54" s="10"/>
      <c r="F54" s="10"/>
      <c r="G54" s="10"/>
      <c r="H54" s="42"/>
      <c r="I54" s="42"/>
      <c r="J54" s="42"/>
    </row>
    <row r="55" spans="1:10" x14ac:dyDescent="0.2">
      <c r="A55" t="s">
        <v>466</v>
      </c>
      <c r="B55" t="s">
        <v>96</v>
      </c>
      <c r="D55" s="10">
        <v>0</v>
      </c>
      <c r="E55" s="10">
        <v>0</v>
      </c>
      <c r="F55" s="10">
        <v>0</v>
      </c>
      <c r="G55" s="10">
        <v>698.75</v>
      </c>
      <c r="H55" s="41">
        <v>1244</v>
      </c>
      <c r="I55" s="41">
        <v>935</v>
      </c>
      <c r="J55" s="41">
        <v>1278</v>
      </c>
    </row>
    <row r="56" spans="1:10" x14ac:dyDescent="0.2">
      <c r="A56" t="s">
        <v>467</v>
      </c>
      <c r="B56" t="s">
        <v>149</v>
      </c>
      <c r="D56" s="10">
        <v>0</v>
      </c>
      <c r="E56" s="10">
        <v>0</v>
      </c>
      <c r="F56" s="10">
        <v>0</v>
      </c>
      <c r="G56" s="10">
        <v>652</v>
      </c>
      <c r="H56" s="41">
        <v>653</v>
      </c>
      <c r="I56" s="41">
        <v>463</v>
      </c>
      <c r="J56" s="41">
        <v>628</v>
      </c>
    </row>
    <row r="57" spans="1:10" x14ac:dyDescent="0.2">
      <c r="A57" s="13" t="s">
        <v>603</v>
      </c>
      <c r="B57" s="13" t="s">
        <v>604</v>
      </c>
      <c r="D57" s="10">
        <v>261</v>
      </c>
      <c r="E57" s="10">
        <v>251</v>
      </c>
      <c r="F57" s="10">
        <v>261</v>
      </c>
      <c r="G57" s="10">
        <v>261</v>
      </c>
      <c r="H57" s="41">
        <v>221</v>
      </c>
      <c r="I57" s="41">
        <v>169</v>
      </c>
      <c r="J57" s="41">
        <v>234</v>
      </c>
    </row>
    <row r="58" spans="1:10" x14ac:dyDescent="0.2">
      <c r="A58" t="s">
        <v>138</v>
      </c>
      <c r="D58" s="10"/>
      <c r="E58" s="10"/>
      <c r="F58" s="10"/>
      <c r="G58" s="10"/>
      <c r="H58" s="42"/>
      <c r="I58" s="42"/>
      <c r="J58" s="42"/>
    </row>
    <row r="59" spans="1:10" x14ac:dyDescent="0.2">
      <c r="A59" t="s">
        <v>468</v>
      </c>
      <c r="B59" t="s">
        <v>139</v>
      </c>
      <c r="D59" s="10">
        <v>45000</v>
      </c>
      <c r="E59" s="10">
        <v>33120.1</v>
      </c>
      <c r="F59" s="10">
        <v>42000</v>
      </c>
      <c r="G59" s="10">
        <v>41321.14</v>
      </c>
      <c r="H59" s="41">
        <v>37121.75</v>
      </c>
      <c r="I59" s="41">
        <v>38382</v>
      </c>
      <c r="J59" s="41">
        <v>31757</v>
      </c>
    </row>
    <row r="60" spans="1:10" x14ac:dyDescent="0.2">
      <c r="A60" t="s">
        <v>785</v>
      </c>
      <c r="B60" t="s">
        <v>142</v>
      </c>
      <c r="D60" s="10">
        <v>0</v>
      </c>
      <c r="E60" s="10">
        <v>0</v>
      </c>
      <c r="F60" s="10">
        <v>0</v>
      </c>
      <c r="G60" s="10">
        <v>0</v>
      </c>
      <c r="H60" s="41">
        <v>0</v>
      </c>
      <c r="I60" s="41">
        <v>0</v>
      </c>
      <c r="J60" s="41">
        <v>2310</v>
      </c>
    </row>
    <row r="61" spans="1:10" x14ac:dyDescent="0.2">
      <c r="A61" s="29" t="s">
        <v>859</v>
      </c>
      <c r="D61" s="10"/>
      <c r="E61" s="10"/>
      <c r="F61" s="10"/>
      <c r="G61" s="10"/>
      <c r="H61" s="41"/>
      <c r="I61" s="41"/>
      <c r="J61" s="41"/>
    </row>
    <row r="62" spans="1:10" x14ac:dyDescent="0.2">
      <c r="A62" s="29" t="s">
        <v>860</v>
      </c>
      <c r="B62" s="29" t="s">
        <v>861</v>
      </c>
      <c r="D62" s="10">
        <f>'Hwy 44 Bond 2013'!C21</f>
        <v>0</v>
      </c>
      <c r="E62" s="10">
        <v>125000</v>
      </c>
      <c r="F62" s="10">
        <v>125000</v>
      </c>
      <c r="G62" s="10">
        <v>0</v>
      </c>
      <c r="H62" s="41">
        <v>3924</v>
      </c>
      <c r="I62" s="41">
        <v>0</v>
      </c>
      <c r="J62" s="41">
        <v>0</v>
      </c>
    </row>
    <row r="63" spans="1:10" x14ac:dyDescent="0.2">
      <c r="A63" s="29" t="s">
        <v>1080</v>
      </c>
      <c r="B63" s="29"/>
      <c r="D63" s="10"/>
      <c r="E63" s="10"/>
      <c r="F63" s="10"/>
      <c r="G63" s="10"/>
      <c r="H63" s="41"/>
      <c r="I63" s="41"/>
      <c r="J63" s="41"/>
    </row>
    <row r="64" spans="1:10" x14ac:dyDescent="0.2">
      <c r="A64" s="29" t="s">
        <v>1078</v>
      </c>
      <c r="B64" s="29" t="s">
        <v>1081</v>
      </c>
      <c r="D64" s="10">
        <v>70000</v>
      </c>
      <c r="E64" s="10">
        <v>0</v>
      </c>
      <c r="F64" s="10">
        <v>0</v>
      </c>
      <c r="G64" s="10">
        <v>0</v>
      </c>
      <c r="H64" s="41">
        <v>0</v>
      </c>
      <c r="I64" s="41">
        <v>0</v>
      </c>
      <c r="J64" s="41">
        <v>0</v>
      </c>
    </row>
    <row r="65" spans="1:12" x14ac:dyDescent="0.2">
      <c r="A65" s="29" t="s">
        <v>1079</v>
      </c>
      <c r="B65" s="29" t="s">
        <v>1082</v>
      </c>
      <c r="D65" s="10">
        <v>50000</v>
      </c>
      <c r="E65" s="10">
        <v>0</v>
      </c>
      <c r="F65" s="10">
        <v>0</v>
      </c>
      <c r="G65" s="10">
        <v>0</v>
      </c>
      <c r="H65" s="41">
        <v>0</v>
      </c>
      <c r="I65" s="41">
        <v>0</v>
      </c>
      <c r="J65" s="41">
        <v>0</v>
      </c>
    </row>
    <row r="66" spans="1:12" x14ac:dyDescent="0.2">
      <c r="A66" t="s">
        <v>132</v>
      </c>
      <c r="D66" s="10"/>
      <c r="E66" s="10"/>
      <c r="F66" s="10"/>
      <c r="G66" s="10"/>
      <c r="H66" s="42"/>
      <c r="I66" s="42"/>
      <c r="J66" s="42"/>
    </row>
    <row r="67" spans="1:12" x14ac:dyDescent="0.2">
      <c r="A67" t="s">
        <v>688</v>
      </c>
      <c r="B67" t="s">
        <v>133</v>
      </c>
      <c r="D67" s="10">
        <v>0</v>
      </c>
      <c r="E67" s="10">
        <v>0</v>
      </c>
      <c r="F67" s="10">
        <v>0</v>
      </c>
      <c r="G67" s="10">
        <v>0</v>
      </c>
      <c r="H67" s="42">
        <v>0</v>
      </c>
      <c r="I67" s="42">
        <v>616</v>
      </c>
      <c r="J67" s="42">
        <v>0</v>
      </c>
    </row>
    <row r="68" spans="1:12" x14ac:dyDescent="0.2">
      <c r="A68" s="29" t="s">
        <v>858</v>
      </c>
      <c r="B68" s="29" t="s">
        <v>134</v>
      </c>
      <c r="D68" s="10">
        <v>0</v>
      </c>
      <c r="E68" s="10">
        <v>0</v>
      </c>
      <c r="F68" s="10">
        <v>0</v>
      </c>
      <c r="G68" s="10">
        <v>0</v>
      </c>
      <c r="H68" s="42">
        <v>747</v>
      </c>
      <c r="I68" s="42">
        <v>0</v>
      </c>
      <c r="J68" s="42">
        <v>0</v>
      </c>
    </row>
    <row r="69" spans="1:12" x14ac:dyDescent="0.2">
      <c r="A69" t="s">
        <v>469</v>
      </c>
      <c r="B69" t="s">
        <v>135</v>
      </c>
      <c r="D69" s="10">
        <v>100000</v>
      </c>
      <c r="E69" s="10">
        <v>0</v>
      </c>
      <c r="F69" s="10">
        <v>31000</v>
      </c>
      <c r="G69" s="10">
        <v>0</v>
      </c>
      <c r="H69" s="41">
        <v>0</v>
      </c>
      <c r="I69" s="41">
        <v>0</v>
      </c>
      <c r="J69" s="41">
        <v>725</v>
      </c>
    </row>
    <row r="70" spans="1:12" x14ac:dyDescent="0.2">
      <c r="A70" t="s">
        <v>125</v>
      </c>
      <c r="D70" s="10"/>
      <c r="E70" s="10"/>
      <c r="F70" s="10"/>
      <c r="G70" s="10"/>
      <c r="H70" s="42"/>
      <c r="I70" s="42"/>
      <c r="J70" s="42"/>
    </row>
    <row r="71" spans="1:12" x14ac:dyDescent="0.2">
      <c r="A71" t="s">
        <v>470</v>
      </c>
      <c r="B71" t="s">
        <v>126</v>
      </c>
      <c r="D71" s="10">
        <v>0</v>
      </c>
      <c r="E71" s="10">
        <v>0</v>
      </c>
      <c r="F71" s="10">
        <v>0</v>
      </c>
      <c r="G71" s="10">
        <v>2705</v>
      </c>
      <c r="H71" s="42">
        <v>0</v>
      </c>
      <c r="I71" s="42">
        <v>0</v>
      </c>
      <c r="J71" s="42">
        <v>0</v>
      </c>
    </row>
    <row r="72" spans="1:12" x14ac:dyDescent="0.2">
      <c r="A72" t="s">
        <v>120</v>
      </c>
      <c r="D72" s="10"/>
      <c r="E72" s="10"/>
      <c r="F72" s="10"/>
      <c r="G72" s="10"/>
      <c r="H72" s="42"/>
      <c r="I72" s="42"/>
      <c r="J72" s="42"/>
    </row>
    <row r="73" spans="1:12" x14ac:dyDescent="0.2">
      <c r="A73" t="s">
        <v>471</v>
      </c>
      <c r="B73" t="s">
        <v>104</v>
      </c>
      <c r="D73" s="10">
        <v>4500</v>
      </c>
      <c r="E73" s="10">
        <v>3708.89</v>
      </c>
      <c r="F73" s="10">
        <v>4500</v>
      </c>
      <c r="G73" s="10">
        <v>4476.57</v>
      </c>
      <c r="H73" s="42">
        <v>5075.5</v>
      </c>
      <c r="I73" s="42">
        <v>4859</v>
      </c>
      <c r="J73" s="42">
        <v>3626</v>
      </c>
    </row>
    <row r="74" spans="1:12" x14ac:dyDescent="0.2">
      <c r="A74" t="s">
        <v>472</v>
      </c>
      <c r="B74" t="s">
        <v>102</v>
      </c>
      <c r="D74" s="10">
        <v>500</v>
      </c>
      <c r="E74" s="10">
        <v>352.52</v>
      </c>
      <c r="F74" s="10">
        <v>500</v>
      </c>
      <c r="G74" s="10">
        <v>60</v>
      </c>
      <c r="H74" s="42">
        <v>614.47</v>
      </c>
      <c r="I74" s="42">
        <v>317</v>
      </c>
      <c r="J74" s="42">
        <v>233</v>
      </c>
    </row>
    <row r="75" spans="1:12" x14ac:dyDescent="0.2">
      <c r="A75" t="s">
        <v>473</v>
      </c>
      <c r="B75" t="s">
        <v>121</v>
      </c>
      <c r="D75" s="10">
        <v>0</v>
      </c>
      <c r="E75" s="10">
        <v>0</v>
      </c>
      <c r="F75" s="10">
        <v>0</v>
      </c>
      <c r="G75" s="10">
        <v>0</v>
      </c>
      <c r="H75" s="42">
        <v>0</v>
      </c>
      <c r="I75" s="42">
        <v>17</v>
      </c>
      <c r="J75" s="42">
        <v>0</v>
      </c>
    </row>
    <row r="76" spans="1:12" x14ac:dyDescent="0.2">
      <c r="D76" s="10"/>
      <c r="E76" s="10"/>
      <c r="F76" s="10"/>
      <c r="G76" s="10"/>
      <c r="H76" s="42"/>
      <c r="I76" s="42"/>
      <c r="J76" s="42"/>
      <c r="L76" s="29"/>
    </row>
    <row r="77" spans="1:12" x14ac:dyDescent="0.2">
      <c r="B77" s="26" t="s">
        <v>65</v>
      </c>
      <c r="D77" s="10">
        <f>SUM(D16:D75)</f>
        <v>339480.27600000001</v>
      </c>
      <c r="E77" s="10">
        <f>SUM(E16:E75)</f>
        <v>211180.76</v>
      </c>
      <c r="F77" s="10">
        <f>SUM(F16:F76)</f>
        <v>265258.06099999999</v>
      </c>
      <c r="G77" s="10">
        <f>SUM(G16:G75)</f>
        <v>201776.13</v>
      </c>
      <c r="H77" s="41">
        <f t="shared" ref="H77:J77" si="1">SUM(H16:H75)</f>
        <v>132310.12999999998</v>
      </c>
      <c r="I77" s="41">
        <f t="shared" si="1"/>
        <v>128945</v>
      </c>
      <c r="J77" s="41">
        <f t="shared" si="1"/>
        <v>115463</v>
      </c>
    </row>
    <row r="78" spans="1:12" x14ac:dyDescent="0.2">
      <c r="D78" s="10"/>
      <c r="E78" s="10"/>
      <c r="F78" s="10"/>
      <c r="G78" s="10"/>
    </row>
    <row r="79" spans="1:12" x14ac:dyDescent="0.2">
      <c r="A79" s="13"/>
      <c r="B79" s="63" t="s">
        <v>790</v>
      </c>
      <c r="D79" s="10">
        <v>0</v>
      </c>
      <c r="E79" s="10">
        <f>'Water Infrastructure'!C8</f>
        <v>129819.20000000001</v>
      </c>
      <c r="F79" s="10">
        <v>0</v>
      </c>
      <c r="G79" s="10">
        <v>109047.8</v>
      </c>
      <c r="H79" s="10">
        <v>44364.87</v>
      </c>
      <c r="I79" s="10">
        <v>37382</v>
      </c>
      <c r="J79" s="10">
        <v>37395</v>
      </c>
    </row>
  </sheetData>
  <phoneticPr fontId="2" type="noConversion"/>
  <pageMargins left="0.25" right="0.25" top="0.75" bottom="0.75" header="0.3" footer="0.3"/>
  <pageSetup orientation="landscape" r:id="rId1"/>
  <headerFooter alignWithMargins="0"/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81"/>
  <sheetViews>
    <sheetView topLeftCell="A64" zoomScaleNormal="100" workbookViewId="0">
      <selection activeCell="J19" sqref="J19"/>
    </sheetView>
  </sheetViews>
  <sheetFormatPr defaultRowHeight="12.75" x14ac:dyDescent="0.2"/>
  <cols>
    <col min="1" max="1" width="18.28515625" customWidth="1"/>
    <col min="2" max="2" width="27.5703125" customWidth="1"/>
    <col min="3" max="3" width="15" bestFit="1" customWidth="1"/>
    <col min="4" max="6" width="11.7109375" customWidth="1"/>
    <col min="7" max="8" width="10.7109375" customWidth="1"/>
    <col min="9" max="9" width="11.28515625" customWidth="1"/>
  </cols>
  <sheetData>
    <row r="1" spans="1:9" ht="15.75" x14ac:dyDescent="0.25">
      <c r="B1" s="14" t="s">
        <v>4</v>
      </c>
      <c r="C1" s="1">
        <v>2015</v>
      </c>
      <c r="D1" s="51">
        <v>2014</v>
      </c>
      <c r="E1" s="51">
        <v>2014</v>
      </c>
      <c r="F1" s="51">
        <v>2013</v>
      </c>
      <c r="G1" s="51">
        <v>2012</v>
      </c>
      <c r="H1" s="51">
        <v>2011</v>
      </c>
      <c r="I1" s="17">
        <v>2010</v>
      </c>
    </row>
    <row r="2" spans="1:9" x14ac:dyDescent="0.2">
      <c r="C2" s="1" t="s">
        <v>596</v>
      </c>
      <c r="D2" s="51" t="s">
        <v>1076</v>
      </c>
      <c r="E2" s="51" t="s">
        <v>596</v>
      </c>
      <c r="F2" s="51" t="s">
        <v>597</v>
      </c>
      <c r="G2" s="51" t="s">
        <v>597</v>
      </c>
      <c r="H2" s="51" t="s">
        <v>597</v>
      </c>
      <c r="I2" s="51" t="s">
        <v>597</v>
      </c>
    </row>
    <row r="3" spans="1:9" x14ac:dyDescent="0.2">
      <c r="A3" t="s">
        <v>47</v>
      </c>
    </row>
    <row r="4" spans="1:9" x14ac:dyDescent="0.2">
      <c r="A4" s="13" t="s">
        <v>684</v>
      </c>
      <c r="B4" s="13" t="s">
        <v>685</v>
      </c>
      <c r="C4" s="10">
        <v>0</v>
      </c>
      <c r="D4" s="10">
        <v>450</v>
      </c>
      <c r="E4" s="10">
        <v>0</v>
      </c>
      <c r="F4" s="10">
        <v>150</v>
      </c>
      <c r="G4" s="10">
        <v>150</v>
      </c>
      <c r="H4" s="10">
        <v>150</v>
      </c>
      <c r="I4" s="42">
        <v>0</v>
      </c>
    </row>
    <row r="5" spans="1:9" x14ac:dyDescent="0.2">
      <c r="A5" s="29" t="s">
        <v>847</v>
      </c>
      <c r="B5" s="29" t="s">
        <v>567</v>
      </c>
      <c r="C5" s="10">
        <v>0</v>
      </c>
      <c r="D5" s="10">
        <v>300</v>
      </c>
      <c r="E5" s="10">
        <v>0</v>
      </c>
      <c r="F5" s="10">
        <v>100</v>
      </c>
      <c r="G5" s="10">
        <v>182.96</v>
      </c>
      <c r="H5" s="10">
        <v>0</v>
      </c>
      <c r="I5" s="42">
        <v>0</v>
      </c>
    </row>
    <row r="6" spans="1:9" x14ac:dyDescent="0.2">
      <c r="A6" s="13" t="s">
        <v>186</v>
      </c>
      <c r="B6" t="s">
        <v>567</v>
      </c>
      <c r="C6" s="10">
        <f>E6*104%</f>
        <v>216250.22598399999</v>
      </c>
      <c r="D6" s="10">
        <v>170960.76</v>
      </c>
      <c r="E6" s="10">
        <f>F6*104%</f>
        <v>207932.90959999998</v>
      </c>
      <c r="F6" s="10">
        <v>199935.49</v>
      </c>
      <c r="G6" s="44">
        <v>172660.91</v>
      </c>
      <c r="H6" s="44">
        <f>140471+100</f>
        <v>140571</v>
      </c>
      <c r="I6" s="44">
        <v>143821</v>
      </c>
    </row>
    <row r="7" spans="1:9" x14ac:dyDescent="0.2">
      <c r="A7" s="13" t="s">
        <v>686</v>
      </c>
      <c r="B7" t="s">
        <v>24</v>
      </c>
      <c r="C7" s="10">
        <f>E7*104%</f>
        <v>1199.9486720000002</v>
      </c>
      <c r="D7" s="10">
        <v>1037.29</v>
      </c>
      <c r="E7" s="10">
        <f>F7*104%</f>
        <v>1153.7968000000001</v>
      </c>
      <c r="F7" s="10">
        <v>1109.42</v>
      </c>
      <c r="G7" s="42">
        <v>1141.3599999999999</v>
      </c>
      <c r="H7" s="42">
        <v>1065</v>
      </c>
      <c r="I7" s="42">
        <v>909</v>
      </c>
    </row>
    <row r="8" spans="1:9" x14ac:dyDescent="0.2">
      <c r="A8" s="29" t="s">
        <v>848</v>
      </c>
      <c r="B8" t="s">
        <v>716</v>
      </c>
      <c r="C8" s="10">
        <v>48000</v>
      </c>
      <c r="D8" s="10">
        <v>0</v>
      </c>
      <c r="E8" s="10">
        <v>55000</v>
      </c>
      <c r="F8" s="10">
        <v>0</v>
      </c>
      <c r="G8" s="42">
        <v>22772.78</v>
      </c>
      <c r="H8" s="42">
        <v>55205</v>
      </c>
      <c r="I8" s="42">
        <v>2500</v>
      </c>
    </row>
    <row r="9" spans="1:9" x14ac:dyDescent="0.2">
      <c r="A9" s="29" t="s">
        <v>848</v>
      </c>
      <c r="B9" t="s">
        <v>999</v>
      </c>
      <c r="C9" s="10">
        <v>0</v>
      </c>
      <c r="D9" s="10">
        <v>0</v>
      </c>
      <c r="E9" s="10">
        <v>45000</v>
      </c>
      <c r="F9" s="10"/>
      <c r="G9" s="42"/>
      <c r="H9" s="42"/>
      <c r="I9" s="42"/>
    </row>
    <row r="10" spans="1:9" x14ac:dyDescent="0.2">
      <c r="C10" s="10"/>
      <c r="D10" s="10"/>
      <c r="E10" s="10"/>
      <c r="F10" s="10"/>
      <c r="G10" s="42"/>
      <c r="H10" s="42"/>
      <c r="I10" s="42"/>
    </row>
    <row r="11" spans="1:9" x14ac:dyDescent="0.2">
      <c r="B11" s="26" t="s">
        <v>65</v>
      </c>
      <c r="C11" s="10">
        <f>SUM(C4:C9)</f>
        <v>265450.17465599999</v>
      </c>
      <c r="D11" s="10">
        <f>SUM(D4:D9)</f>
        <v>172748.05000000002</v>
      </c>
      <c r="E11" s="10">
        <f>SUM(E4:E9)</f>
        <v>309086.70640000002</v>
      </c>
      <c r="F11" s="10">
        <f>SUM(F4:F8)</f>
        <v>201294.91</v>
      </c>
      <c r="G11" s="44">
        <f>SUM(G4:G8)</f>
        <v>196908.00999999998</v>
      </c>
      <c r="H11" s="44">
        <f>SUM(H4:H8)</f>
        <v>196991</v>
      </c>
      <c r="I11" s="44">
        <f>SUM(I6:I8)</f>
        <v>147230</v>
      </c>
    </row>
    <row r="12" spans="1:9" x14ac:dyDescent="0.2">
      <c r="A12" t="s">
        <v>89</v>
      </c>
      <c r="C12" s="10"/>
      <c r="D12" s="10"/>
      <c r="E12" s="10"/>
      <c r="F12" s="10"/>
      <c r="G12" s="36"/>
      <c r="H12" s="36"/>
      <c r="I12" s="36"/>
    </row>
    <row r="13" spans="1:9" x14ac:dyDescent="0.2">
      <c r="A13" t="s">
        <v>223</v>
      </c>
      <c r="C13" s="10"/>
      <c r="D13" s="10"/>
      <c r="E13" s="10"/>
      <c r="F13" s="10"/>
      <c r="G13" s="36"/>
      <c r="H13" s="36"/>
      <c r="I13" s="36"/>
    </row>
    <row r="14" spans="1:9" x14ac:dyDescent="0.2">
      <c r="A14" t="s">
        <v>474</v>
      </c>
      <c r="B14" t="s">
        <v>109</v>
      </c>
      <c r="C14" s="10">
        <v>19708</v>
      </c>
      <c r="D14" s="10">
        <v>14857.48</v>
      </c>
      <c r="E14" s="10">
        <f>(18.22*2080)/2</f>
        <v>18948.8</v>
      </c>
      <c r="F14" s="10">
        <v>29242.13</v>
      </c>
      <c r="G14" s="44">
        <v>35880.18</v>
      </c>
      <c r="H14" s="44">
        <v>33646</v>
      </c>
      <c r="I14" s="44">
        <v>33291</v>
      </c>
    </row>
    <row r="15" spans="1:9" x14ac:dyDescent="0.2">
      <c r="A15" t="s">
        <v>475</v>
      </c>
      <c r="B15" t="s">
        <v>110</v>
      </c>
      <c r="C15" s="10">
        <v>4000</v>
      </c>
      <c r="D15" s="10">
        <v>4758.8500000000004</v>
      </c>
      <c r="E15" s="10">
        <v>2000</v>
      </c>
      <c r="F15" s="10">
        <v>4764.04</v>
      </c>
      <c r="G15" s="41">
        <v>3598.59</v>
      </c>
      <c r="H15" s="41">
        <v>3858</v>
      </c>
      <c r="I15" s="41">
        <v>3492</v>
      </c>
    </row>
    <row r="16" spans="1:9" x14ac:dyDescent="0.2">
      <c r="A16" t="s">
        <v>219</v>
      </c>
      <c r="C16" s="10"/>
      <c r="D16" s="10"/>
      <c r="E16" s="10"/>
      <c r="F16" s="10"/>
      <c r="G16" s="42"/>
      <c r="H16" s="42"/>
      <c r="I16" s="42"/>
    </row>
    <row r="17" spans="1:9" x14ac:dyDescent="0.2">
      <c r="A17" t="s">
        <v>476</v>
      </c>
      <c r="B17" t="s">
        <v>221</v>
      </c>
      <c r="C17" s="10">
        <f>SUM(C14:C15)*0.075</f>
        <v>1778.1</v>
      </c>
      <c r="D17" s="10">
        <v>1547.75</v>
      </c>
      <c r="E17" s="10">
        <f>(E14+E15)*0.0725</f>
        <v>1518.7879999999998</v>
      </c>
      <c r="F17" s="10">
        <v>2521.0100000000002</v>
      </c>
      <c r="G17" s="41">
        <v>2862.16</v>
      </c>
      <c r="H17" s="41">
        <v>2715</v>
      </c>
      <c r="I17" s="41">
        <v>2575</v>
      </c>
    </row>
    <row r="18" spans="1:9" x14ac:dyDescent="0.2">
      <c r="A18" t="s">
        <v>477</v>
      </c>
      <c r="B18" t="s">
        <v>92</v>
      </c>
      <c r="C18" s="10">
        <f>SUM(C14:C15)*0.0625</f>
        <v>1481.75</v>
      </c>
      <c r="D18" s="10">
        <v>1322.7</v>
      </c>
      <c r="E18" s="10">
        <f>(E14+E15)*0.0625</f>
        <v>1309.3</v>
      </c>
      <c r="F18" s="10">
        <v>2102.17</v>
      </c>
      <c r="G18" s="41">
        <v>2399.33</v>
      </c>
      <c r="H18" s="41">
        <v>2262</v>
      </c>
      <c r="I18" s="41">
        <v>2221</v>
      </c>
    </row>
    <row r="19" spans="1:9" x14ac:dyDescent="0.2">
      <c r="A19" t="s">
        <v>478</v>
      </c>
      <c r="B19" t="s">
        <v>94</v>
      </c>
      <c r="C19" s="10">
        <f>SUM(C14:C15)*0.0145</f>
        <v>343.76600000000002</v>
      </c>
      <c r="D19" s="10">
        <v>309.33</v>
      </c>
      <c r="E19" s="10">
        <f>(E14+E15)*0.0145</f>
        <v>303.75760000000002</v>
      </c>
      <c r="F19" s="10">
        <v>491.59</v>
      </c>
      <c r="G19" s="41">
        <v>561.05999999999995</v>
      </c>
      <c r="H19" s="41">
        <v>529</v>
      </c>
      <c r="I19" s="41">
        <v>519</v>
      </c>
    </row>
    <row r="20" spans="1:9" x14ac:dyDescent="0.2">
      <c r="A20" t="s">
        <v>214</v>
      </c>
      <c r="C20" s="10"/>
      <c r="D20" s="10"/>
      <c r="E20" s="10"/>
      <c r="F20" s="10"/>
      <c r="G20" s="42"/>
      <c r="H20" s="42"/>
      <c r="I20" s="42"/>
    </row>
    <row r="21" spans="1:9" x14ac:dyDescent="0.2">
      <c r="A21" t="s">
        <v>479</v>
      </c>
      <c r="B21" t="s">
        <v>216</v>
      </c>
      <c r="C21" s="10">
        <f>803*6</f>
        <v>4818</v>
      </c>
      <c r="D21" s="10">
        <v>4143.4799999999996</v>
      </c>
      <c r="E21" s="10">
        <v>4818</v>
      </c>
      <c r="F21" s="10">
        <v>7443.23</v>
      </c>
      <c r="G21" s="44">
        <v>9401.93</v>
      </c>
      <c r="H21" s="44">
        <v>9496</v>
      </c>
      <c r="I21" s="44">
        <v>8689</v>
      </c>
    </row>
    <row r="22" spans="1:9" x14ac:dyDescent="0.2">
      <c r="A22" t="s">
        <v>480</v>
      </c>
      <c r="B22" t="s">
        <v>218</v>
      </c>
      <c r="C22" s="10">
        <f>56.61*6</f>
        <v>339.65999999999997</v>
      </c>
      <c r="D22" s="10">
        <v>292.13</v>
      </c>
      <c r="E22" s="10">
        <v>340</v>
      </c>
      <c r="F22" s="10">
        <v>396.78</v>
      </c>
      <c r="G22" s="44">
        <v>416.84</v>
      </c>
      <c r="H22" s="44">
        <v>645</v>
      </c>
      <c r="I22" s="44">
        <v>638</v>
      </c>
    </row>
    <row r="23" spans="1:9" x14ac:dyDescent="0.2">
      <c r="A23" s="29" t="s">
        <v>852</v>
      </c>
      <c r="C23" s="10"/>
      <c r="D23" s="10"/>
      <c r="E23" s="10"/>
      <c r="F23" s="10"/>
      <c r="G23" s="44"/>
      <c r="H23" s="44"/>
      <c r="I23" s="44"/>
    </row>
    <row r="24" spans="1:9" x14ac:dyDescent="0.2">
      <c r="A24" s="29" t="s">
        <v>853</v>
      </c>
      <c r="B24" s="29" t="s">
        <v>839</v>
      </c>
      <c r="C24" s="10">
        <v>0</v>
      </c>
      <c r="D24" s="10">
        <v>0</v>
      </c>
      <c r="E24" s="10">
        <v>0</v>
      </c>
      <c r="F24" s="10">
        <v>0</v>
      </c>
      <c r="G24" s="44">
        <v>1320.76</v>
      </c>
      <c r="H24" s="44">
        <v>0</v>
      </c>
      <c r="I24" s="44">
        <v>0</v>
      </c>
    </row>
    <row r="25" spans="1:9" x14ac:dyDescent="0.2">
      <c r="A25" t="s">
        <v>50</v>
      </c>
      <c r="C25" s="10"/>
      <c r="D25" s="10"/>
      <c r="E25" s="10"/>
      <c r="F25" s="10"/>
      <c r="G25" s="42"/>
      <c r="H25" s="42"/>
      <c r="I25" s="42"/>
    </row>
    <row r="26" spans="1:9" x14ac:dyDescent="0.2">
      <c r="A26" t="s">
        <v>481</v>
      </c>
      <c r="B26" t="s">
        <v>213</v>
      </c>
      <c r="C26" s="10">
        <v>1200</v>
      </c>
      <c r="D26" s="10">
        <v>0</v>
      </c>
      <c r="E26" s="10">
        <v>1182</v>
      </c>
      <c r="F26" s="10">
        <v>1323</v>
      </c>
      <c r="G26" s="41">
        <v>1301</v>
      </c>
      <c r="H26" s="41">
        <v>3194</v>
      </c>
      <c r="I26" s="41">
        <v>1730</v>
      </c>
    </row>
    <row r="27" spans="1:9" x14ac:dyDescent="0.2">
      <c r="A27" t="s">
        <v>36</v>
      </c>
      <c r="C27" s="10"/>
      <c r="D27" s="10"/>
      <c r="E27" s="10"/>
      <c r="F27" s="10"/>
      <c r="G27" s="42"/>
      <c r="H27" s="42"/>
      <c r="I27" s="42"/>
    </row>
    <row r="28" spans="1:9" x14ac:dyDescent="0.2">
      <c r="A28" s="13" t="s">
        <v>672</v>
      </c>
      <c r="B28" t="s">
        <v>49</v>
      </c>
      <c r="C28" s="10">
        <v>0</v>
      </c>
      <c r="D28" s="10">
        <v>0</v>
      </c>
      <c r="E28" s="10">
        <v>0</v>
      </c>
      <c r="F28" s="10">
        <v>0</v>
      </c>
      <c r="G28" s="42">
        <v>16.54</v>
      </c>
      <c r="H28" s="42">
        <v>0</v>
      </c>
      <c r="I28" s="42">
        <v>0</v>
      </c>
    </row>
    <row r="29" spans="1:9" x14ac:dyDescent="0.2">
      <c r="A29" t="s">
        <v>180</v>
      </c>
      <c r="C29" s="10"/>
      <c r="D29" s="10"/>
      <c r="E29" s="10"/>
      <c r="F29" s="10"/>
      <c r="G29" s="42"/>
      <c r="H29" s="42"/>
      <c r="I29" s="42"/>
    </row>
    <row r="30" spans="1:9" x14ac:dyDescent="0.2">
      <c r="A30" t="s">
        <v>482</v>
      </c>
      <c r="B30" t="s">
        <v>182</v>
      </c>
      <c r="C30" s="10">
        <v>0</v>
      </c>
      <c r="D30" s="10">
        <v>0</v>
      </c>
      <c r="E30" s="10">
        <v>0</v>
      </c>
      <c r="F30" s="10">
        <v>0</v>
      </c>
      <c r="G30" s="42">
        <v>2.93</v>
      </c>
      <c r="H30" s="42">
        <v>150</v>
      </c>
      <c r="I30" s="42">
        <v>5</v>
      </c>
    </row>
    <row r="31" spans="1:9" x14ac:dyDescent="0.2">
      <c r="A31" t="s">
        <v>483</v>
      </c>
      <c r="B31" t="s">
        <v>183</v>
      </c>
      <c r="C31" s="10">
        <v>2000</v>
      </c>
      <c r="D31" s="10">
        <v>1549.17</v>
      </c>
      <c r="E31" s="10">
        <v>2000</v>
      </c>
      <c r="F31" s="10">
        <v>2090.0700000000002</v>
      </c>
      <c r="G31" s="42">
        <v>2528.38</v>
      </c>
      <c r="H31" s="42">
        <v>1985</v>
      </c>
      <c r="I31" s="42">
        <v>1794</v>
      </c>
    </row>
    <row r="32" spans="1:9" x14ac:dyDescent="0.2">
      <c r="A32" t="s">
        <v>484</v>
      </c>
      <c r="B32" t="s">
        <v>205</v>
      </c>
      <c r="C32" s="10">
        <v>350</v>
      </c>
      <c r="D32" s="10">
        <v>328.57</v>
      </c>
      <c r="E32" s="10">
        <v>300</v>
      </c>
      <c r="F32" s="10">
        <v>310.43</v>
      </c>
      <c r="G32" s="42">
        <v>0</v>
      </c>
      <c r="H32" s="42">
        <v>222</v>
      </c>
      <c r="I32" s="42">
        <v>272</v>
      </c>
    </row>
    <row r="33" spans="1:9" x14ac:dyDescent="0.2">
      <c r="A33" t="s">
        <v>485</v>
      </c>
      <c r="B33" t="s">
        <v>34</v>
      </c>
      <c r="C33" s="10">
        <v>5000</v>
      </c>
      <c r="D33" s="10">
        <v>2770.29</v>
      </c>
      <c r="E33" s="10">
        <v>5000</v>
      </c>
      <c r="F33" s="10">
        <v>4456.9690000000001</v>
      </c>
      <c r="G33" s="42">
        <v>5663.22</v>
      </c>
      <c r="H33" s="42">
        <v>8395</v>
      </c>
      <c r="I33" s="42">
        <v>4291</v>
      </c>
    </row>
    <row r="34" spans="1:9" x14ac:dyDescent="0.2">
      <c r="A34" t="s">
        <v>486</v>
      </c>
      <c r="B34" t="s">
        <v>35</v>
      </c>
      <c r="C34" s="10">
        <v>5000</v>
      </c>
      <c r="D34" s="10">
        <v>3406.75</v>
      </c>
      <c r="E34" s="10">
        <v>5000</v>
      </c>
      <c r="F34" s="10">
        <v>6985.1</v>
      </c>
      <c r="G34" s="42">
        <v>8593.7099999999991</v>
      </c>
      <c r="H34" s="42">
        <v>5389</v>
      </c>
      <c r="I34" s="42">
        <v>2435</v>
      </c>
    </row>
    <row r="35" spans="1:9" x14ac:dyDescent="0.2">
      <c r="A35" t="s">
        <v>23</v>
      </c>
      <c r="C35" s="10"/>
      <c r="D35" s="10"/>
      <c r="E35" s="10"/>
      <c r="F35" s="10"/>
      <c r="G35" s="42"/>
      <c r="H35" s="42"/>
      <c r="I35" s="42"/>
    </row>
    <row r="36" spans="1:9" x14ac:dyDescent="0.2">
      <c r="A36" t="s">
        <v>487</v>
      </c>
      <c r="B36" t="s">
        <v>171</v>
      </c>
      <c r="C36" s="10">
        <v>10000</v>
      </c>
      <c r="D36" s="10">
        <v>13481.11</v>
      </c>
      <c r="E36" s="10">
        <v>6000</v>
      </c>
      <c r="F36" s="10">
        <v>3481.23</v>
      </c>
      <c r="G36" s="42">
        <v>1548.38</v>
      </c>
      <c r="H36" s="42">
        <v>21280</v>
      </c>
      <c r="I36" s="42">
        <v>1716</v>
      </c>
    </row>
    <row r="37" spans="1:9" x14ac:dyDescent="0.2">
      <c r="A37" t="s">
        <v>488</v>
      </c>
      <c r="B37" t="s">
        <v>172</v>
      </c>
      <c r="C37" s="10">
        <v>0</v>
      </c>
      <c r="D37" s="10">
        <v>0</v>
      </c>
      <c r="E37" s="10">
        <v>0</v>
      </c>
      <c r="F37" s="10">
        <v>0</v>
      </c>
      <c r="G37" s="42">
        <v>0</v>
      </c>
      <c r="H37" s="42">
        <v>0</v>
      </c>
      <c r="I37" s="42">
        <v>0</v>
      </c>
    </row>
    <row r="38" spans="1:9" x14ac:dyDescent="0.2">
      <c r="A38" t="s">
        <v>489</v>
      </c>
      <c r="B38" t="s">
        <v>174</v>
      </c>
      <c r="C38" s="10">
        <v>0</v>
      </c>
      <c r="D38" s="10">
        <v>0</v>
      </c>
      <c r="E38" s="10">
        <v>0</v>
      </c>
      <c r="F38" s="10">
        <v>0</v>
      </c>
      <c r="G38" s="42">
        <v>0</v>
      </c>
      <c r="H38" s="42">
        <v>20</v>
      </c>
      <c r="I38" s="42">
        <v>0</v>
      </c>
    </row>
    <row r="39" spans="1:9" x14ac:dyDescent="0.2">
      <c r="A39" s="13" t="s">
        <v>673</v>
      </c>
      <c r="B39" t="s">
        <v>175</v>
      </c>
      <c r="C39" s="10">
        <v>0</v>
      </c>
      <c r="D39" s="10">
        <v>0</v>
      </c>
      <c r="E39" s="10">
        <v>0</v>
      </c>
      <c r="F39" s="10">
        <v>0</v>
      </c>
      <c r="G39" s="42">
        <v>0</v>
      </c>
      <c r="H39" s="42">
        <v>101</v>
      </c>
      <c r="I39" s="42">
        <v>0</v>
      </c>
    </row>
    <row r="40" spans="1:9" x14ac:dyDescent="0.2">
      <c r="A40" t="s">
        <v>490</v>
      </c>
      <c r="B40" t="s">
        <v>176</v>
      </c>
      <c r="C40" s="10">
        <v>0</v>
      </c>
      <c r="D40" s="10">
        <v>0</v>
      </c>
      <c r="E40" s="10">
        <v>0</v>
      </c>
      <c r="F40" s="10">
        <v>0</v>
      </c>
      <c r="G40" s="42">
        <v>0</v>
      </c>
      <c r="H40" s="42">
        <v>0</v>
      </c>
      <c r="I40" s="42">
        <v>410</v>
      </c>
    </row>
    <row r="41" spans="1:9" x14ac:dyDescent="0.2">
      <c r="A41" t="s">
        <v>775</v>
      </c>
      <c r="B41" t="s">
        <v>178</v>
      </c>
      <c r="C41" s="10">
        <v>0</v>
      </c>
      <c r="D41" s="10">
        <v>0</v>
      </c>
      <c r="E41" s="10">
        <v>0</v>
      </c>
      <c r="F41" s="10">
        <v>0</v>
      </c>
      <c r="G41" s="42">
        <v>0</v>
      </c>
      <c r="H41" s="42">
        <v>76</v>
      </c>
      <c r="I41" s="42">
        <v>43</v>
      </c>
    </row>
    <row r="42" spans="1:9" x14ac:dyDescent="0.2">
      <c r="A42" t="s">
        <v>491</v>
      </c>
      <c r="B42" t="s">
        <v>179</v>
      </c>
      <c r="C42" s="10">
        <v>400</v>
      </c>
      <c r="D42" s="10">
        <v>0</v>
      </c>
      <c r="E42" s="10">
        <v>500</v>
      </c>
      <c r="F42" s="10">
        <v>256.62</v>
      </c>
      <c r="G42" s="42">
        <v>56.57</v>
      </c>
      <c r="H42" s="42">
        <v>5437</v>
      </c>
      <c r="I42" s="42">
        <v>318</v>
      </c>
    </row>
    <row r="43" spans="1:9" x14ac:dyDescent="0.2">
      <c r="A43" t="s">
        <v>6</v>
      </c>
      <c r="C43" s="10"/>
      <c r="D43" s="10"/>
      <c r="E43" s="10"/>
      <c r="F43" s="10"/>
      <c r="G43" s="42"/>
      <c r="H43" s="42"/>
      <c r="I43" s="42"/>
    </row>
    <row r="44" spans="1:9" x14ac:dyDescent="0.2">
      <c r="A44" t="s">
        <v>492</v>
      </c>
      <c r="B44" t="s">
        <v>8</v>
      </c>
      <c r="C44" s="129">
        <v>0</v>
      </c>
      <c r="D44" s="10">
        <v>2924.4</v>
      </c>
      <c r="E44" s="10">
        <v>2000</v>
      </c>
      <c r="F44" s="10">
        <v>1948</v>
      </c>
      <c r="G44" s="44">
        <v>1893</v>
      </c>
      <c r="H44" s="44">
        <v>1893</v>
      </c>
      <c r="I44" s="44">
        <v>1622</v>
      </c>
    </row>
    <row r="45" spans="1:9" x14ac:dyDescent="0.2">
      <c r="A45" t="s">
        <v>493</v>
      </c>
      <c r="B45" t="s">
        <v>955</v>
      </c>
      <c r="C45" s="129">
        <v>18000</v>
      </c>
      <c r="D45" s="10">
        <v>6354.33</v>
      </c>
      <c r="E45" s="10">
        <v>20000</v>
      </c>
      <c r="F45" s="10">
        <v>10928.88</v>
      </c>
      <c r="G45" s="41">
        <v>21641.16</v>
      </c>
      <c r="H45" s="41">
        <v>19563</v>
      </c>
      <c r="I45" s="41">
        <v>7972</v>
      </c>
    </row>
    <row r="46" spans="1:9" x14ac:dyDescent="0.2">
      <c r="A46" t="s">
        <v>494</v>
      </c>
      <c r="B46" t="s">
        <v>105</v>
      </c>
      <c r="C46" s="10">
        <v>500</v>
      </c>
      <c r="D46" s="10">
        <v>501.51</v>
      </c>
      <c r="E46" s="10">
        <v>500</v>
      </c>
      <c r="F46" s="10">
        <v>490.15</v>
      </c>
      <c r="G46" s="41">
        <v>615.98</v>
      </c>
      <c r="H46" s="41">
        <v>470</v>
      </c>
      <c r="I46" s="41">
        <v>491</v>
      </c>
    </row>
    <row r="47" spans="1:9" x14ac:dyDescent="0.2">
      <c r="A47" t="s">
        <v>5</v>
      </c>
      <c r="C47" s="10"/>
      <c r="D47" s="10"/>
      <c r="E47" s="10"/>
      <c r="F47" s="10"/>
      <c r="G47" s="42"/>
      <c r="H47" s="42"/>
      <c r="I47" s="42"/>
    </row>
    <row r="48" spans="1:9" x14ac:dyDescent="0.2">
      <c r="A48" t="s">
        <v>495</v>
      </c>
      <c r="B48" t="s">
        <v>100</v>
      </c>
      <c r="C48" s="10">
        <v>600</v>
      </c>
      <c r="D48" s="10">
        <v>483.7</v>
      </c>
      <c r="E48" s="10">
        <v>600</v>
      </c>
      <c r="F48" s="10">
        <v>605.74</v>
      </c>
      <c r="G48" s="42">
        <v>577.19000000000005</v>
      </c>
      <c r="H48" s="42">
        <v>558</v>
      </c>
      <c r="I48" s="42">
        <v>574</v>
      </c>
    </row>
    <row r="49" spans="1:9" x14ac:dyDescent="0.2">
      <c r="A49" s="29" t="s">
        <v>854</v>
      </c>
      <c r="B49" s="29" t="s">
        <v>101</v>
      </c>
      <c r="C49" s="10">
        <v>0</v>
      </c>
      <c r="D49" s="10">
        <v>0</v>
      </c>
      <c r="E49" s="10">
        <v>0</v>
      </c>
      <c r="F49" s="10">
        <v>0</v>
      </c>
      <c r="G49" s="42">
        <v>2.8</v>
      </c>
      <c r="H49" s="42">
        <v>0</v>
      </c>
      <c r="I49" s="42">
        <v>0</v>
      </c>
    </row>
    <row r="50" spans="1:9" x14ac:dyDescent="0.2">
      <c r="A50" t="s">
        <v>165</v>
      </c>
      <c r="C50" s="10"/>
      <c r="D50" s="10"/>
      <c r="E50" s="10"/>
      <c r="F50" s="10"/>
      <c r="G50" s="42"/>
      <c r="H50" s="42"/>
      <c r="I50" s="42"/>
    </row>
    <row r="51" spans="1:9" x14ac:dyDescent="0.2">
      <c r="A51" t="s">
        <v>496</v>
      </c>
      <c r="B51" t="s">
        <v>167</v>
      </c>
      <c r="C51" s="10">
        <v>0</v>
      </c>
      <c r="D51" s="10">
        <v>0</v>
      </c>
      <c r="E51" s="10">
        <v>0</v>
      </c>
      <c r="F51" s="10">
        <v>331.08</v>
      </c>
      <c r="G51" s="42">
        <v>0</v>
      </c>
      <c r="H51" s="42">
        <f>88+364</f>
        <v>452</v>
      </c>
      <c r="I51" s="42">
        <v>258</v>
      </c>
    </row>
    <row r="52" spans="1:9" x14ac:dyDescent="0.2">
      <c r="A52" t="s">
        <v>153</v>
      </c>
      <c r="C52" s="10"/>
      <c r="D52" s="10"/>
      <c r="E52" s="10"/>
      <c r="F52" s="10"/>
      <c r="G52" s="42"/>
      <c r="H52" s="42"/>
      <c r="I52" s="42"/>
    </row>
    <row r="53" spans="1:9" x14ac:dyDescent="0.2">
      <c r="A53" t="s">
        <v>497</v>
      </c>
      <c r="B53" t="s">
        <v>156</v>
      </c>
      <c r="C53" s="10">
        <v>0</v>
      </c>
      <c r="D53" s="10">
        <v>0</v>
      </c>
      <c r="E53" s="10">
        <v>0</v>
      </c>
      <c r="F53" s="10">
        <v>0</v>
      </c>
      <c r="G53" s="42">
        <v>0</v>
      </c>
      <c r="H53" s="42">
        <v>0</v>
      </c>
      <c r="I53" s="42">
        <v>404</v>
      </c>
    </row>
    <row r="54" spans="1:9" x14ac:dyDescent="0.2">
      <c r="A54" s="13" t="s">
        <v>146</v>
      </c>
      <c r="C54" s="10"/>
      <c r="D54" s="10"/>
      <c r="E54" s="10"/>
      <c r="F54" s="10"/>
      <c r="G54" s="42"/>
      <c r="H54" s="42"/>
      <c r="I54" s="42"/>
    </row>
    <row r="55" spans="1:9" x14ac:dyDescent="0.2">
      <c r="A55" s="29" t="s">
        <v>982</v>
      </c>
      <c r="B55" s="29" t="s">
        <v>96</v>
      </c>
      <c r="C55" s="10">
        <v>0</v>
      </c>
      <c r="D55" s="10">
        <v>0</v>
      </c>
      <c r="E55" s="10">
        <v>0</v>
      </c>
      <c r="F55" s="10">
        <v>2502</v>
      </c>
      <c r="G55" s="42">
        <v>0</v>
      </c>
      <c r="H55" s="42">
        <v>0</v>
      </c>
      <c r="I55" s="42">
        <v>0</v>
      </c>
    </row>
    <row r="56" spans="1:9" x14ac:dyDescent="0.2">
      <c r="A56" t="s">
        <v>498</v>
      </c>
      <c r="B56" t="s">
        <v>149</v>
      </c>
      <c r="C56" s="10">
        <v>0</v>
      </c>
      <c r="D56" s="10">
        <v>0</v>
      </c>
      <c r="E56" s="10">
        <v>0</v>
      </c>
      <c r="F56" s="10">
        <v>2884</v>
      </c>
      <c r="G56" s="41">
        <v>2893</v>
      </c>
      <c r="H56" s="41">
        <v>2049</v>
      </c>
      <c r="I56" s="41">
        <v>2782</v>
      </c>
    </row>
    <row r="57" spans="1:9" x14ac:dyDescent="0.2">
      <c r="A57" t="s">
        <v>499</v>
      </c>
      <c r="B57" t="s">
        <v>150</v>
      </c>
      <c r="C57" s="10">
        <v>500</v>
      </c>
      <c r="D57" s="10">
        <v>458</v>
      </c>
      <c r="E57" s="10">
        <v>480</v>
      </c>
      <c r="F57" s="10">
        <v>478</v>
      </c>
      <c r="G57" s="41">
        <v>396</v>
      </c>
      <c r="H57" s="41">
        <v>303</v>
      </c>
      <c r="I57" s="41">
        <v>416</v>
      </c>
    </row>
    <row r="58" spans="1:9" x14ac:dyDescent="0.2">
      <c r="A58" t="s">
        <v>138</v>
      </c>
      <c r="C58" s="10"/>
      <c r="D58" s="10"/>
      <c r="E58" s="10"/>
      <c r="F58" s="10"/>
      <c r="G58" s="42"/>
      <c r="H58" s="42"/>
      <c r="I58" s="42"/>
    </row>
    <row r="59" spans="1:9" x14ac:dyDescent="0.2">
      <c r="A59" t="s">
        <v>500</v>
      </c>
      <c r="B59" t="s">
        <v>139</v>
      </c>
      <c r="C59" s="10">
        <v>35000</v>
      </c>
      <c r="D59" s="10">
        <v>21672.45</v>
      </c>
      <c r="E59" s="10">
        <v>30000</v>
      </c>
      <c r="F59" s="10">
        <v>28955.14</v>
      </c>
      <c r="G59" s="41">
        <v>32300.3</v>
      </c>
      <c r="H59" s="41">
        <v>27347</v>
      </c>
      <c r="I59" s="41">
        <v>29740</v>
      </c>
    </row>
    <row r="60" spans="1:9" x14ac:dyDescent="0.2">
      <c r="A60" t="s">
        <v>501</v>
      </c>
      <c r="B60" t="s">
        <v>140</v>
      </c>
      <c r="C60" s="10">
        <v>35000</v>
      </c>
      <c r="D60" s="10">
        <v>21930.17</v>
      </c>
      <c r="E60" s="10">
        <v>30000</v>
      </c>
      <c r="F60" s="10">
        <v>29184.080000000002</v>
      </c>
      <c r="G60" s="41">
        <v>32767.33</v>
      </c>
      <c r="H60" s="41">
        <v>12852</v>
      </c>
      <c r="I60" s="41">
        <v>18220</v>
      </c>
    </row>
    <row r="61" spans="1:9" x14ac:dyDescent="0.2">
      <c r="A61" t="s">
        <v>502</v>
      </c>
      <c r="B61" t="s">
        <v>141</v>
      </c>
      <c r="C61" s="10">
        <v>2500</v>
      </c>
      <c r="D61" s="10">
        <v>1179.19</v>
      </c>
      <c r="E61" s="10">
        <v>1000</v>
      </c>
      <c r="F61" s="10">
        <v>1170.8399999999999</v>
      </c>
      <c r="G61" s="42">
        <v>822.62</v>
      </c>
      <c r="H61" s="42">
        <v>948</v>
      </c>
      <c r="I61" s="42">
        <v>794</v>
      </c>
    </row>
    <row r="62" spans="1:9" x14ac:dyDescent="0.2">
      <c r="A62" s="29" t="s">
        <v>849</v>
      </c>
      <c r="C62" s="10"/>
      <c r="D62" s="10"/>
      <c r="E62" s="10"/>
      <c r="F62" s="10"/>
      <c r="G62" s="42"/>
      <c r="H62" s="42"/>
      <c r="I62" s="42"/>
    </row>
    <row r="63" spans="1:9" x14ac:dyDescent="0.2">
      <c r="A63" s="29" t="s">
        <v>850</v>
      </c>
      <c r="B63" s="29" t="s">
        <v>851</v>
      </c>
      <c r="C63" s="10">
        <f>'Hwy 44 Bond 2013'!C20</f>
        <v>0</v>
      </c>
      <c r="D63" s="10">
        <v>25154</v>
      </c>
      <c r="E63" s="10">
        <v>25000</v>
      </c>
      <c r="F63" s="10">
        <v>0</v>
      </c>
      <c r="G63" s="42">
        <v>8888.11</v>
      </c>
      <c r="H63" s="42">
        <v>0</v>
      </c>
      <c r="I63" s="42">
        <v>0</v>
      </c>
    </row>
    <row r="64" spans="1:9" x14ac:dyDescent="0.2">
      <c r="A64" s="29" t="s">
        <v>1080</v>
      </c>
      <c r="C64" s="10"/>
      <c r="D64" s="10"/>
      <c r="E64" s="10"/>
      <c r="F64" s="10"/>
      <c r="G64" s="42"/>
      <c r="H64" s="42"/>
      <c r="I64" s="42"/>
    </row>
    <row r="65" spans="1:9" x14ac:dyDescent="0.2">
      <c r="A65" s="29" t="s">
        <v>1083</v>
      </c>
      <c r="B65" t="s">
        <v>1085</v>
      </c>
      <c r="C65" s="10">
        <f>85000-'Enterprise Funds-Water'!D64</f>
        <v>15000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</row>
    <row r="66" spans="1:9" x14ac:dyDescent="0.2">
      <c r="A66" s="29" t="s">
        <v>1084</v>
      </c>
      <c r="B66" t="s">
        <v>1082</v>
      </c>
      <c r="C66" s="10">
        <f>57685-'Enterprise Funds-Water'!D65</f>
        <v>7685</v>
      </c>
      <c r="D66" s="10">
        <v>61708.5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</row>
    <row r="67" spans="1:9" x14ac:dyDescent="0.2">
      <c r="A67" t="s">
        <v>132</v>
      </c>
      <c r="C67" s="10"/>
      <c r="D67" s="10"/>
      <c r="E67" s="10"/>
      <c r="F67" s="10"/>
      <c r="G67" s="42"/>
      <c r="H67" s="42"/>
      <c r="I67" s="42"/>
    </row>
    <row r="68" spans="1:9" x14ac:dyDescent="0.2">
      <c r="A68" t="s">
        <v>503</v>
      </c>
      <c r="B68" t="s">
        <v>133</v>
      </c>
      <c r="C68" s="10">
        <v>0</v>
      </c>
      <c r="D68" s="10">
        <v>0</v>
      </c>
      <c r="E68" s="10">
        <v>0</v>
      </c>
      <c r="F68" s="10">
        <v>0</v>
      </c>
      <c r="G68" s="44">
        <v>0</v>
      </c>
      <c r="H68" s="44">
        <v>9040</v>
      </c>
      <c r="I68" s="44">
        <v>0</v>
      </c>
    </row>
    <row r="69" spans="1:9" x14ac:dyDescent="0.2">
      <c r="A69" t="s">
        <v>504</v>
      </c>
      <c r="B69" t="s">
        <v>134</v>
      </c>
      <c r="C69" s="10">
        <v>0</v>
      </c>
      <c r="D69" s="10">
        <v>0</v>
      </c>
      <c r="E69" s="10">
        <v>0</v>
      </c>
      <c r="F69" s="10">
        <v>0</v>
      </c>
      <c r="G69" s="44">
        <v>0</v>
      </c>
      <c r="H69" s="44">
        <v>6500</v>
      </c>
      <c r="I69" s="44">
        <v>675</v>
      </c>
    </row>
    <row r="70" spans="1:9" x14ac:dyDescent="0.2">
      <c r="A70" t="s">
        <v>505</v>
      </c>
      <c r="B70" t="s">
        <v>135</v>
      </c>
      <c r="C70" s="10">
        <v>88000</v>
      </c>
      <c r="D70" s="10">
        <v>2100.63</v>
      </c>
      <c r="E70" s="10">
        <v>120000</v>
      </c>
      <c r="F70" s="10">
        <v>0</v>
      </c>
      <c r="G70" s="41">
        <v>5712.82</v>
      </c>
      <c r="H70" s="41">
        <v>12395</v>
      </c>
      <c r="I70" s="41">
        <v>0</v>
      </c>
    </row>
    <row r="71" spans="1:9" x14ac:dyDescent="0.2">
      <c r="A71" t="s">
        <v>506</v>
      </c>
      <c r="B71" t="s">
        <v>136</v>
      </c>
      <c r="C71" s="10">
        <v>0</v>
      </c>
      <c r="D71" s="10">
        <v>0</v>
      </c>
      <c r="E71" s="10">
        <v>0</v>
      </c>
      <c r="F71" s="10">
        <v>600</v>
      </c>
      <c r="G71" s="42">
        <v>0</v>
      </c>
      <c r="H71" s="42">
        <v>0</v>
      </c>
      <c r="I71" s="42">
        <v>17287</v>
      </c>
    </row>
    <row r="72" spans="1:9" x14ac:dyDescent="0.2">
      <c r="A72" t="s">
        <v>125</v>
      </c>
      <c r="C72" s="10"/>
      <c r="D72" s="10"/>
      <c r="E72" s="10"/>
      <c r="F72" s="10"/>
      <c r="G72" s="42"/>
      <c r="H72" s="42"/>
      <c r="I72" s="42"/>
    </row>
    <row r="73" spans="1:9" x14ac:dyDescent="0.2">
      <c r="A73" t="s">
        <v>507</v>
      </c>
      <c r="B73" t="s">
        <v>126</v>
      </c>
      <c r="C73" s="10">
        <v>0</v>
      </c>
      <c r="D73" s="10">
        <v>0</v>
      </c>
      <c r="E73" s="10">
        <v>0</v>
      </c>
      <c r="F73" s="10">
        <v>6920</v>
      </c>
      <c r="G73" s="42">
        <v>0</v>
      </c>
      <c r="H73" s="42">
        <v>4625</v>
      </c>
      <c r="I73" s="42">
        <v>0</v>
      </c>
    </row>
    <row r="74" spans="1:9" x14ac:dyDescent="0.2">
      <c r="A74" t="s">
        <v>120</v>
      </c>
      <c r="C74" s="10"/>
      <c r="D74" s="10"/>
      <c r="E74" s="10"/>
      <c r="F74" s="10"/>
      <c r="G74" s="42"/>
      <c r="H74" s="42"/>
      <c r="I74" s="42"/>
    </row>
    <row r="75" spans="1:9" x14ac:dyDescent="0.2">
      <c r="A75" t="s">
        <v>508</v>
      </c>
      <c r="B75" t="s">
        <v>104</v>
      </c>
      <c r="C75" s="10">
        <v>3000</v>
      </c>
      <c r="D75" s="10">
        <v>1612.49</v>
      </c>
      <c r="E75" s="10">
        <v>3000</v>
      </c>
      <c r="F75" s="10">
        <v>3001</v>
      </c>
      <c r="G75" s="42">
        <v>1482</v>
      </c>
      <c r="H75" s="42">
        <v>1450</v>
      </c>
      <c r="I75" s="42">
        <v>1548</v>
      </c>
    </row>
    <row r="76" spans="1:9" x14ac:dyDescent="0.2">
      <c r="A76" t="s">
        <v>509</v>
      </c>
      <c r="B76" t="s">
        <v>102</v>
      </c>
      <c r="C76" s="10">
        <v>1000</v>
      </c>
      <c r="D76" s="10">
        <v>500.03</v>
      </c>
      <c r="E76" s="10">
        <v>500</v>
      </c>
      <c r="F76" s="10">
        <v>300</v>
      </c>
      <c r="G76" s="42">
        <v>699.89</v>
      </c>
      <c r="H76" s="42">
        <v>638</v>
      </c>
      <c r="I76" s="42">
        <v>362</v>
      </c>
    </row>
    <row r="77" spans="1:9" x14ac:dyDescent="0.2">
      <c r="A77" t="s">
        <v>510</v>
      </c>
      <c r="B77" t="s">
        <v>121</v>
      </c>
      <c r="C77" s="10">
        <v>0</v>
      </c>
      <c r="D77" s="10">
        <v>0</v>
      </c>
      <c r="E77" s="10">
        <v>0</v>
      </c>
      <c r="F77" s="10">
        <v>0</v>
      </c>
      <c r="G77" s="42">
        <v>0</v>
      </c>
      <c r="H77" s="42">
        <v>17</v>
      </c>
      <c r="I77" s="42">
        <v>22</v>
      </c>
    </row>
    <row r="78" spans="1:9" x14ac:dyDescent="0.2">
      <c r="C78" s="10"/>
      <c r="D78" s="10"/>
      <c r="E78" s="10"/>
      <c r="F78" s="10"/>
      <c r="G78" s="42"/>
      <c r="H78" s="42"/>
      <c r="I78" s="42"/>
    </row>
    <row r="79" spans="1:9" x14ac:dyDescent="0.2">
      <c r="B79" s="26" t="s">
        <v>65</v>
      </c>
      <c r="C79" s="10">
        <f>SUM(C14:C78)</f>
        <v>263204.27600000001</v>
      </c>
      <c r="D79" s="10">
        <f>SUM(D14:D78)</f>
        <v>195347.01</v>
      </c>
      <c r="E79" s="10">
        <f>SUM(E14:E78)</f>
        <v>282300.64559999999</v>
      </c>
      <c r="F79" s="10">
        <f>SUM(F14:F77)</f>
        <v>156163.27900000001</v>
      </c>
      <c r="G79" s="44">
        <f t="shared" ref="G79:I79" si="0">SUM(G14:G77)</f>
        <v>186843.78000000003</v>
      </c>
      <c r="H79" s="44">
        <f t="shared" si="0"/>
        <v>200500</v>
      </c>
      <c r="I79" s="44">
        <f t="shared" si="0"/>
        <v>147606</v>
      </c>
    </row>
    <row r="80" spans="1:9" x14ac:dyDescent="0.2">
      <c r="A80" s="13"/>
      <c r="C80" s="10"/>
      <c r="D80" s="10"/>
      <c r="E80" s="10"/>
      <c r="F80" s="10"/>
    </row>
    <row r="81" spans="2:9" x14ac:dyDescent="0.2">
      <c r="B81" s="63" t="s">
        <v>791</v>
      </c>
      <c r="C81" s="10">
        <v>0</v>
      </c>
      <c r="D81" s="10">
        <f>'Sewer Infrastructure'!C8</f>
        <v>110628.97</v>
      </c>
      <c r="E81" s="10">
        <v>0</v>
      </c>
      <c r="F81" s="10">
        <v>61180.18</v>
      </c>
      <c r="G81" s="10">
        <v>202738.65</v>
      </c>
      <c r="H81" s="10">
        <v>36595</v>
      </c>
      <c r="I81" s="10">
        <v>36748</v>
      </c>
    </row>
  </sheetData>
  <phoneticPr fontId="2" type="noConversion"/>
  <pageMargins left="0.25" right="0.25" top="0.75" bottom="0.75" header="0.3" footer="0.3"/>
  <pageSetup orientation="landscape" r:id="rId1"/>
  <headerFooter alignWithMargins="0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9"/>
  <sheetViews>
    <sheetView topLeftCell="A10" zoomScaleNormal="100" workbookViewId="0">
      <selection activeCell="D34" sqref="D34"/>
    </sheetView>
  </sheetViews>
  <sheetFormatPr defaultRowHeight="12.75" x14ac:dyDescent="0.2"/>
  <cols>
    <col min="1" max="1" width="18.42578125" customWidth="1"/>
    <col min="2" max="2" width="27.5703125" customWidth="1"/>
    <col min="3" max="3" width="6.7109375" customWidth="1"/>
    <col min="4" max="7" width="11.7109375" customWidth="1"/>
    <col min="8" max="9" width="10.7109375" customWidth="1"/>
    <col min="10" max="10" width="11.28515625" customWidth="1"/>
  </cols>
  <sheetData>
    <row r="1" spans="1:10" ht="15.75" x14ac:dyDescent="0.25">
      <c r="B1" s="14" t="s">
        <v>990</v>
      </c>
      <c r="D1" s="1">
        <v>2015</v>
      </c>
      <c r="E1" s="51">
        <v>2014</v>
      </c>
      <c r="F1" s="51">
        <v>2014</v>
      </c>
      <c r="G1" s="51">
        <v>2013</v>
      </c>
      <c r="H1" s="51">
        <v>2012</v>
      </c>
      <c r="I1" s="51">
        <v>2011</v>
      </c>
      <c r="J1" s="17">
        <v>2010</v>
      </c>
    </row>
    <row r="2" spans="1:10" ht="12.75" customHeight="1" x14ac:dyDescent="0.25">
      <c r="A2" t="s">
        <v>47</v>
      </c>
      <c r="B2" s="14"/>
      <c r="D2" s="1" t="s">
        <v>596</v>
      </c>
      <c r="E2" s="51" t="s">
        <v>1076</v>
      </c>
      <c r="F2" s="51" t="s">
        <v>596</v>
      </c>
      <c r="G2" s="51" t="s">
        <v>597</v>
      </c>
      <c r="H2" s="51" t="s">
        <v>597</v>
      </c>
      <c r="I2" s="51" t="s">
        <v>597</v>
      </c>
      <c r="J2" s="51" t="s">
        <v>597</v>
      </c>
    </row>
    <row r="3" spans="1:10" ht="12.75" customHeight="1" x14ac:dyDescent="0.2">
      <c r="A3" t="s">
        <v>761</v>
      </c>
      <c r="B3" s="29" t="s">
        <v>560</v>
      </c>
      <c r="D3" s="10">
        <v>15000</v>
      </c>
      <c r="E3" s="10">
        <v>11483.55</v>
      </c>
      <c r="F3" s="10">
        <v>11000</v>
      </c>
      <c r="G3" s="10">
        <v>15599.44</v>
      </c>
      <c r="H3" s="10">
        <v>15425.72</v>
      </c>
      <c r="I3" s="10">
        <v>9500</v>
      </c>
      <c r="J3" s="32">
        <v>10176</v>
      </c>
    </row>
    <row r="4" spans="1:10" ht="12.75" customHeight="1" x14ac:dyDescent="0.2">
      <c r="A4" t="s">
        <v>760</v>
      </c>
      <c r="B4" s="29" t="s">
        <v>1041</v>
      </c>
      <c r="D4" s="10">
        <v>103000</v>
      </c>
      <c r="E4" s="10">
        <v>103319</v>
      </c>
      <c r="F4" s="10">
        <v>103319</v>
      </c>
      <c r="G4" s="10">
        <v>103319</v>
      </c>
      <c r="H4" s="10">
        <v>0</v>
      </c>
      <c r="I4" s="10">
        <v>107261</v>
      </c>
      <c r="J4" s="32">
        <v>115019</v>
      </c>
    </row>
    <row r="5" spans="1:10" ht="12.75" customHeight="1" x14ac:dyDescent="0.2">
      <c r="A5" s="29" t="s">
        <v>863</v>
      </c>
      <c r="B5" s="29" t="s">
        <v>856</v>
      </c>
      <c r="D5" s="10">
        <v>500</v>
      </c>
      <c r="E5" s="10">
        <v>572.98</v>
      </c>
      <c r="F5" s="10">
        <v>0</v>
      </c>
      <c r="G5" s="10">
        <v>431.17</v>
      </c>
      <c r="H5" s="10">
        <v>539.84</v>
      </c>
      <c r="I5" s="10">
        <v>0</v>
      </c>
      <c r="J5" s="32">
        <v>0</v>
      </c>
    </row>
    <row r="6" spans="1:10" ht="12.75" customHeight="1" x14ac:dyDescent="0.2">
      <c r="A6" t="s">
        <v>762</v>
      </c>
      <c r="B6" s="29" t="s">
        <v>940</v>
      </c>
      <c r="D6" s="10">
        <v>32000</v>
      </c>
      <c r="E6" s="10">
        <v>15000</v>
      </c>
      <c r="F6" s="10">
        <v>20000</v>
      </c>
      <c r="G6" s="10">
        <v>22500</v>
      </c>
      <c r="H6" s="10">
        <f>30035.99+45.09</f>
        <v>30081.08</v>
      </c>
      <c r="I6" s="10">
        <v>30000</v>
      </c>
      <c r="J6" s="32">
        <v>30119</v>
      </c>
    </row>
    <row r="7" spans="1:10" ht="12.75" customHeight="1" x14ac:dyDescent="0.2">
      <c r="A7" s="29" t="s">
        <v>864</v>
      </c>
      <c r="B7" s="29" t="s">
        <v>51</v>
      </c>
      <c r="D7" s="10">
        <v>0</v>
      </c>
      <c r="E7" s="10"/>
      <c r="F7" s="10">
        <v>0</v>
      </c>
      <c r="G7" s="10">
        <v>0</v>
      </c>
      <c r="H7" s="10">
        <v>121977.04</v>
      </c>
      <c r="I7" s="10">
        <v>0</v>
      </c>
      <c r="J7" s="32">
        <v>0</v>
      </c>
    </row>
    <row r="8" spans="1:10" ht="12.75" customHeight="1" x14ac:dyDescent="0.2">
      <c r="A8" s="29"/>
      <c r="B8" s="29"/>
      <c r="D8" s="10"/>
      <c r="E8" s="10"/>
      <c r="F8" s="10"/>
      <c r="G8" s="10"/>
      <c r="H8" s="10"/>
      <c r="I8" s="10"/>
      <c r="J8" s="32"/>
    </row>
    <row r="9" spans="1:10" ht="12.75" customHeight="1" x14ac:dyDescent="0.25">
      <c r="B9" s="14"/>
      <c r="C9" s="29" t="s">
        <v>65</v>
      </c>
      <c r="D9" s="72">
        <f>SUM(D3:D8)</f>
        <v>150500</v>
      </c>
      <c r="E9" s="72">
        <f>SUM(E3:E7)</f>
        <v>130375.53</v>
      </c>
      <c r="F9" s="72">
        <f t="shared" ref="F9:J9" si="0">SUM(F3:F7)</f>
        <v>134319</v>
      </c>
      <c r="G9" s="72">
        <f>SUM(G3:G7)</f>
        <v>141849.60999999999</v>
      </c>
      <c r="H9" s="10">
        <f t="shared" si="0"/>
        <v>168023.67999999999</v>
      </c>
      <c r="I9" s="10">
        <f t="shared" si="0"/>
        <v>146761</v>
      </c>
      <c r="J9" s="10">
        <f t="shared" si="0"/>
        <v>155314</v>
      </c>
    </row>
    <row r="10" spans="1:10" ht="12.75" customHeight="1" x14ac:dyDescent="0.25">
      <c r="B10" s="14"/>
      <c r="D10" s="10"/>
      <c r="E10" s="10"/>
      <c r="F10" s="10"/>
      <c r="G10" s="10"/>
      <c r="J10" s="17"/>
    </row>
    <row r="11" spans="1:10" x14ac:dyDescent="0.2">
      <c r="A11" t="s">
        <v>89</v>
      </c>
      <c r="D11" s="10"/>
      <c r="E11" s="10"/>
      <c r="F11" s="10"/>
      <c r="G11" s="10"/>
      <c r="H11" s="13"/>
      <c r="I11" s="13"/>
      <c r="J11" s="17"/>
    </row>
    <row r="12" spans="1:10" x14ac:dyDescent="0.2">
      <c r="A12" t="s">
        <v>223</v>
      </c>
      <c r="D12" s="10"/>
      <c r="E12" s="10"/>
      <c r="F12" s="10"/>
      <c r="G12" s="10"/>
    </row>
    <row r="13" spans="1:10" x14ac:dyDescent="0.2">
      <c r="A13" t="s">
        <v>722</v>
      </c>
      <c r="B13" t="s">
        <v>54</v>
      </c>
      <c r="D13" s="10">
        <v>54171.08</v>
      </c>
      <c r="E13" s="10">
        <v>37444.35</v>
      </c>
      <c r="F13" s="10">
        <f>20568.6+7762.3+24778</f>
        <v>53108.899999999994</v>
      </c>
      <c r="G13" s="10">
        <v>46346.1</v>
      </c>
      <c r="H13" s="41">
        <v>46827.42</v>
      </c>
      <c r="I13" s="41">
        <v>48555</v>
      </c>
      <c r="J13" s="41">
        <v>48871</v>
      </c>
    </row>
    <row r="14" spans="1:10" x14ac:dyDescent="0.2">
      <c r="A14" t="s">
        <v>219</v>
      </c>
      <c r="D14" s="10"/>
      <c r="E14" s="10"/>
      <c r="F14" s="10"/>
      <c r="G14" s="10"/>
      <c r="H14" s="42"/>
      <c r="I14" s="42"/>
      <c r="J14" s="42"/>
    </row>
    <row r="15" spans="1:10" x14ac:dyDescent="0.2">
      <c r="A15" t="s">
        <v>724</v>
      </c>
      <c r="B15" t="s">
        <v>221</v>
      </c>
      <c r="D15" s="10">
        <f>D13*0.075</f>
        <v>4062.8310000000001</v>
      </c>
      <c r="E15" s="10">
        <v>2856.71</v>
      </c>
      <c r="F15" s="10">
        <f>0.0725*F13</f>
        <v>3850.3952499999991</v>
      </c>
      <c r="G15" s="10">
        <v>3204.85</v>
      </c>
      <c r="H15" s="41">
        <v>3395.08</v>
      </c>
      <c r="I15" s="41">
        <v>3521</v>
      </c>
      <c r="J15" s="41">
        <v>2672</v>
      </c>
    </row>
    <row r="16" spans="1:10" x14ac:dyDescent="0.2">
      <c r="A16" t="s">
        <v>723</v>
      </c>
      <c r="B16" t="s">
        <v>92</v>
      </c>
      <c r="D16" s="10">
        <f>D13*0.062</f>
        <v>3358.6069600000001</v>
      </c>
      <c r="E16" s="10">
        <v>2399.52</v>
      </c>
      <c r="F16" s="10">
        <f>0.062*F13</f>
        <v>3292.7517999999995</v>
      </c>
      <c r="G16" s="10">
        <v>2821.98</v>
      </c>
      <c r="H16" s="41">
        <v>2851.71</v>
      </c>
      <c r="I16" s="41">
        <v>2959</v>
      </c>
      <c r="J16" s="41">
        <v>2933</v>
      </c>
    </row>
    <row r="17" spans="1:12" x14ac:dyDescent="0.2">
      <c r="A17" t="s">
        <v>725</v>
      </c>
      <c r="B17" t="s">
        <v>94</v>
      </c>
      <c r="D17" s="10">
        <f>D13*0.0145</f>
        <v>785.48066000000006</v>
      </c>
      <c r="E17" s="10">
        <v>561.28</v>
      </c>
      <c r="F17" s="10">
        <f>0.0145*F13</f>
        <v>770.07904999999994</v>
      </c>
      <c r="G17" s="10">
        <v>660.07</v>
      </c>
      <c r="H17" s="41">
        <v>667.03</v>
      </c>
      <c r="I17" s="41">
        <v>692</v>
      </c>
      <c r="J17" s="41">
        <v>686</v>
      </c>
    </row>
    <row r="18" spans="1:12" x14ac:dyDescent="0.2">
      <c r="A18" t="s">
        <v>214</v>
      </c>
      <c r="D18" s="10"/>
      <c r="E18" s="10"/>
      <c r="F18" s="10"/>
      <c r="G18" s="10"/>
      <c r="H18" s="42"/>
      <c r="I18" s="42"/>
      <c r="J18" s="42"/>
      <c r="L18" s="22"/>
    </row>
    <row r="19" spans="1:12" x14ac:dyDescent="0.2">
      <c r="A19" t="s">
        <v>726</v>
      </c>
      <c r="B19" t="s">
        <v>216</v>
      </c>
      <c r="D19" s="10">
        <f>(803*12)*0.625</f>
        <v>6022.5</v>
      </c>
      <c r="E19" s="10">
        <v>0</v>
      </c>
      <c r="F19" s="10">
        <v>0</v>
      </c>
      <c r="G19" s="10">
        <v>0</v>
      </c>
      <c r="H19" s="41">
        <v>0</v>
      </c>
      <c r="I19" s="41">
        <v>0</v>
      </c>
      <c r="J19" s="41">
        <v>2259</v>
      </c>
    </row>
    <row r="20" spans="1:12" x14ac:dyDescent="0.2">
      <c r="A20" t="s">
        <v>727</v>
      </c>
      <c r="B20" t="s">
        <v>218</v>
      </c>
      <c r="D20" s="10">
        <v>0</v>
      </c>
      <c r="E20" s="10">
        <v>0</v>
      </c>
      <c r="F20" s="10">
        <v>0</v>
      </c>
      <c r="G20" s="10">
        <v>0</v>
      </c>
      <c r="H20" s="41">
        <v>0</v>
      </c>
      <c r="I20" s="41">
        <v>0</v>
      </c>
      <c r="J20" s="41">
        <v>166</v>
      </c>
    </row>
    <row r="21" spans="1:12" x14ac:dyDescent="0.2">
      <c r="A21" t="s">
        <v>50</v>
      </c>
      <c r="D21" s="10"/>
      <c r="E21" s="10"/>
      <c r="F21" s="10"/>
      <c r="G21" s="10"/>
      <c r="H21" s="42"/>
      <c r="I21" s="42"/>
      <c r="J21" s="42"/>
    </row>
    <row r="22" spans="1:12" x14ac:dyDescent="0.2">
      <c r="A22" t="s">
        <v>728</v>
      </c>
      <c r="B22" t="s">
        <v>213</v>
      </c>
      <c r="D22" s="10">
        <v>425</v>
      </c>
      <c r="E22" s="10">
        <v>0</v>
      </c>
      <c r="F22" s="10">
        <v>425</v>
      </c>
      <c r="G22" s="10">
        <v>275</v>
      </c>
      <c r="H22" s="41">
        <v>281</v>
      </c>
      <c r="I22" s="41">
        <v>811</v>
      </c>
      <c r="J22" s="41">
        <v>356</v>
      </c>
    </row>
    <row r="23" spans="1:12" x14ac:dyDescent="0.2">
      <c r="A23" t="s">
        <v>734</v>
      </c>
      <c r="D23" s="10"/>
      <c r="E23" s="10"/>
      <c r="F23" s="10"/>
      <c r="G23" s="10"/>
      <c r="H23" s="41"/>
      <c r="I23" s="41"/>
      <c r="J23" s="41"/>
    </row>
    <row r="24" spans="1:12" x14ac:dyDescent="0.2">
      <c r="A24" t="s">
        <v>735</v>
      </c>
      <c r="B24" t="s">
        <v>625</v>
      </c>
      <c r="D24" s="10">
        <v>75</v>
      </c>
      <c r="E24" s="10">
        <v>0</v>
      </c>
      <c r="F24" s="10">
        <v>75</v>
      </c>
      <c r="G24" s="10">
        <v>69.709999999999994</v>
      </c>
      <c r="H24" s="41">
        <v>9.41</v>
      </c>
      <c r="I24" s="41">
        <v>79</v>
      </c>
      <c r="J24" s="41">
        <v>108</v>
      </c>
    </row>
    <row r="25" spans="1:12" x14ac:dyDescent="0.2">
      <c r="A25" t="s">
        <v>736</v>
      </c>
      <c r="B25" t="s">
        <v>40</v>
      </c>
      <c r="D25" s="10">
        <v>200</v>
      </c>
      <c r="E25" s="10">
        <v>0</v>
      </c>
      <c r="F25" s="10">
        <v>200</v>
      </c>
      <c r="G25" s="10">
        <v>0</v>
      </c>
      <c r="H25" s="41">
        <v>-225.45</v>
      </c>
      <c r="I25" s="41">
        <v>37</v>
      </c>
      <c r="J25" s="41">
        <v>67</v>
      </c>
    </row>
    <row r="26" spans="1:12" x14ac:dyDescent="0.2">
      <c r="A26" t="s">
        <v>737</v>
      </c>
      <c r="B26" t="s">
        <v>738</v>
      </c>
      <c r="D26" s="10">
        <v>200</v>
      </c>
      <c r="E26" s="10">
        <v>67.98</v>
      </c>
      <c r="F26" s="10">
        <v>250</v>
      </c>
      <c r="G26" s="10">
        <v>0</v>
      </c>
      <c r="H26" s="41">
        <v>81.83</v>
      </c>
      <c r="I26" s="41">
        <v>219</v>
      </c>
      <c r="J26" s="41">
        <v>37</v>
      </c>
    </row>
    <row r="27" spans="1:12" x14ac:dyDescent="0.2">
      <c r="A27" t="s">
        <v>739</v>
      </c>
      <c r="B27" t="s">
        <v>657</v>
      </c>
      <c r="D27" s="10">
        <v>388</v>
      </c>
      <c r="E27" s="10">
        <v>-471.75</v>
      </c>
      <c r="F27" s="10">
        <v>388</v>
      </c>
      <c r="G27" s="10">
        <v>-203.31</v>
      </c>
      <c r="H27" s="41">
        <v>248.37</v>
      </c>
      <c r="I27" s="41">
        <v>134</v>
      </c>
      <c r="J27" s="41">
        <v>222</v>
      </c>
    </row>
    <row r="28" spans="1:12" x14ac:dyDescent="0.2">
      <c r="A28" t="s">
        <v>740</v>
      </c>
      <c r="D28" s="10"/>
      <c r="E28" s="10"/>
      <c r="F28" s="10"/>
      <c r="G28" s="10"/>
      <c r="H28" s="41"/>
      <c r="I28" s="41"/>
      <c r="J28" s="41"/>
    </row>
    <row r="29" spans="1:12" x14ac:dyDescent="0.2">
      <c r="A29" t="s">
        <v>758</v>
      </c>
      <c r="B29" t="s">
        <v>182</v>
      </c>
      <c r="D29" s="10">
        <v>0</v>
      </c>
      <c r="E29" s="10">
        <v>0</v>
      </c>
      <c r="F29" s="10">
        <v>0</v>
      </c>
      <c r="G29" s="10">
        <v>0</v>
      </c>
      <c r="H29" s="41">
        <v>0</v>
      </c>
      <c r="I29" s="41">
        <v>0</v>
      </c>
      <c r="J29" s="41">
        <v>0</v>
      </c>
    </row>
    <row r="30" spans="1:12" x14ac:dyDescent="0.2">
      <c r="A30" t="s">
        <v>741</v>
      </c>
      <c r="B30" t="s">
        <v>657</v>
      </c>
      <c r="D30" s="10">
        <v>800</v>
      </c>
      <c r="E30" s="10">
        <v>513.6</v>
      </c>
      <c r="F30" s="10">
        <v>800</v>
      </c>
      <c r="G30" s="10">
        <v>499.98</v>
      </c>
      <c r="H30" s="41">
        <v>2576.39</v>
      </c>
      <c r="I30" s="41">
        <v>1631</v>
      </c>
      <c r="J30" s="41">
        <v>624</v>
      </c>
    </row>
    <row r="31" spans="1:12" x14ac:dyDescent="0.2">
      <c r="A31" t="s">
        <v>23</v>
      </c>
      <c r="D31" s="10"/>
      <c r="E31" s="10"/>
      <c r="F31" s="10"/>
      <c r="G31" s="10"/>
      <c r="H31" s="41"/>
      <c r="I31" s="41"/>
      <c r="J31" s="41"/>
    </row>
    <row r="32" spans="1:12" x14ac:dyDescent="0.2">
      <c r="A32" t="s">
        <v>759</v>
      </c>
      <c r="B32" t="s">
        <v>658</v>
      </c>
      <c r="D32" s="10">
        <v>0</v>
      </c>
      <c r="E32" s="10">
        <v>0</v>
      </c>
      <c r="F32" s="10">
        <v>0</v>
      </c>
      <c r="G32" s="10">
        <v>0</v>
      </c>
      <c r="H32" s="41">
        <v>0</v>
      </c>
      <c r="I32" s="41">
        <v>0</v>
      </c>
      <c r="J32" s="41">
        <v>0</v>
      </c>
    </row>
    <row r="33" spans="1:10" x14ac:dyDescent="0.2">
      <c r="A33" t="s">
        <v>717</v>
      </c>
      <c r="D33" s="10"/>
      <c r="E33" s="10"/>
      <c r="F33" s="10"/>
      <c r="G33" s="10"/>
      <c r="H33" s="41"/>
      <c r="I33" s="41"/>
      <c r="J33" s="41"/>
    </row>
    <row r="34" spans="1:10" x14ac:dyDescent="0.2">
      <c r="A34" t="s">
        <v>729</v>
      </c>
      <c r="B34" t="s">
        <v>8</v>
      </c>
      <c r="D34" s="10">
        <v>1950</v>
      </c>
      <c r="E34" s="10">
        <v>1949.6</v>
      </c>
      <c r="F34" s="10">
        <v>1350</v>
      </c>
      <c r="G34" s="10">
        <v>1313</v>
      </c>
      <c r="H34" s="41">
        <v>1275</v>
      </c>
      <c r="I34" s="41">
        <v>1200</v>
      </c>
      <c r="J34" s="41">
        <v>1180</v>
      </c>
    </row>
    <row r="35" spans="1:10" x14ac:dyDescent="0.2">
      <c r="A35" t="s">
        <v>5</v>
      </c>
      <c r="D35" s="10"/>
      <c r="E35" s="10"/>
      <c r="F35" s="10"/>
      <c r="G35" s="10"/>
      <c r="H35" s="41"/>
      <c r="I35" s="41"/>
      <c r="J35" s="41"/>
    </row>
    <row r="36" spans="1:10" x14ac:dyDescent="0.2">
      <c r="A36" t="s">
        <v>748</v>
      </c>
      <c r="B36" t="s">
        <v>100</v>
      </c>
      <c r="D36" s="10">
        <v>1000</v>
      </c>
      <c r="E36" s="10">
        <v>697.28</v>
      </c>
      <c r="F36" s="10">
        <v>1000</v>
      </c>
      <c r="G36" s="10">
        <v>411.45</v>
      </c>
      <c r="H36" s="41">
        <v>835.09</v>
      </c>
      <c r="I36" s="41">
        <v>856</v>
      </c>
      <c r="J36" s="41">
        <v>789</v>
      </c>
    </row>
    <row r="37" spans="1:10" x14ac:dyDescent="0.2">
      <c r="A37" t="s">
        <v>165</v>
      </c>
      <c r="D37" s="10"/>
      <c r="E37" s="10"/>
      <c r="F37" s="10"/>
      <c r="G37" s="10"/>
      <c r="H37" s="41"/>
      <c r="I37" s="41"/>
      <c r="J37" s="41"/>
    </row>
    <row r="38" spans="1:10" x14ac:dyDescent="0.2">
      <c r="A38" t="s">
        <v>749</v>
      </c>
      <c r="B38" t="s">
        <v>167</v>
      </c>
      <c r="D38" s="10">
        <v>0</v>
      </c>
      <c r="E38" s="10">
        <v>0</v>
      </c>
      <c r="F38" s="10">
        <v>0</v>
      </c>
      <c r="G38" s="10">
        <v>96.31</v>
      </c>
      <c r="H38" s="41">
        <v>504.9</v>
      </c>
      <c r="I38" s="41">
        <v>32</v>
      </c>
      <c r="J38" s="41">
        <v>216</v>
      </c>
    </row>
    <row r="39" spans="1:10" x14ac:dyDescent="0.2">
      <c r="A39" t="s">
        <v>159</v>
      </c>
      <c r="D39" s="10"/>
      <c r="E39" s="10"/>
      <c r="F39" s="10"/>
      <c r="G39" s="10"/>
      <c r="H39" s="41"/>
      <c r="I39" s="41"/>
      <c r="J39" s="41"/>
    </row>
    <row r="40" spans="1:10" x14ac:dyDescent="0.2">
      <c r="A40" t="s">
        <v>750</v>
      </c>
      <c r="B40" t="s">
        <v>163</v>
      </c>
      <c r="D40" s="10">
        <v>260</v>
      </c>
      <c r="E40" s="10">
        <v>0</v>
      </c>
      <c r="F40" s="10">
        <v>260</v>
      </c>
      <c r="G40" s="10">
        <v>89.55</v>
      </c>
      <c r="H40" s="41">
        <v>0</v>
      </c>
      <c r="I40" s="41">
        <v>0</v>
      </c>
      <c r="J40" s="41">
        <v>180</v>
      </c>
    </row>
    <row r="41" spans="1:10" x14ac:dyDescent="0.2">
      <c r="A41" t="s">
        <v>153</v>
      </c>
      <c r="D41" s="10"/>
      <c r="E41" s="10"/>
      <c r="F41" s="10"/>
      <c r="G41" s="10"/>
      <c r="H41" s="41"/>
      <c r="I41" s="41"/>
      <c r="J41" s="41"/>
    </row>
    <row r="42" spans="1:10" x14ac:dyDescent="0.2">
      <c r="A42" t="s">
        <v>751</v>
      </c>
      <c r="B42" t="s">
        <v>752</v>
      </c>
      <c r="D42" s="10">
        <v>0</v>
      </c>
      <c r="E42" s="10">
        <v>0</v>
      </c>
      <c r="F42" s="10">
        <v>0</v>
      </c>
      <c r="G42" s="10">
        <v>0</v>
      </c>
      <c r="H42" s="41">
        <v>0</v>
      </c>
      <c r="I42" s="41">
        <v>0</v>
      </c>
      <c r="J42" s="41">
        <v>0</v>
      </c>
    </row>
    <row r="43" spans="1:10" x14ac:dyDescent="0.2">
      <c r="A43" s="13" t="s">
        <v>146</v>
      </c>
      <c r="D43" s="10"/>
      <c r="E43" s="10"/>
      <c r="F43" s="10"/>
      <c r="G43" s="10"/>
      <c r="H43" s="42"/>
      <c r="I43" s="42"/>
      <c r="J43" s="42"/>
    </row>
    <row r="44" spans="1:10" x14ac:dyDescent="0.2">
      <c r="A44" t="s">
        <v>730</v>
      </c>
      <c r="B44" t="s">
        <v>149</v>
      </c>
      <c r="D44" s="10">
        <v>898</v>
      </c>
      <c r="E44" s="10">
        <v>864</v>
      </c>
      <c r="F44" s="10">
        <v>898</v>
      </c>
      <c r="G44" s="10">
        <v>0</v>
      </c>
      <c r="H44" s="41">
        <v>0</v>
      </c>
      <c r="I44" s="41">
        <v>784</v>
      </c>
      <c r="J44" s="41">
        <v>814</v>
      </c>
    </row>
    <row r="45" spans="1:10" x14ac:dyDescent="0.2">
      <c r="A45" s="29" t="s">
        <v>859</v>
      </c>
      <c r="D45" s="10"/>
      <c r="E45" s="10"/>
      <c r="F45" s="10"/>
      <c r="G45" s="10"/>
      <c r="H45" s="41"/>
      <c r="I45" s="41"/>
      <c r="J45" s="41"/>
    </row>
    <row r="46" spans="1:10" x14ac:dyDescent="0.2">
      <c r="A46" s="29" t="s">
        <v>865</v>
      </c>
      <c r="B46" s="29" t="s">
        <v>851</v>
      </c>
      <c r="D46" s="10">
        <v>0</v>
      </c>
      <c r="E46" s="10">
        <v>0</v>
      </c>
      <c r="F46" s="10">
        <v>0</v>
      </c>
      <c r="G46" s="10">
        <v>0</v>
      </c>
      <c r="H46" s="41">
        <v>70317.539999999994</v>
      </c>
      <c r="I46" s="41">
        <v>0</v>
      </c>
      <c r="J46" s="41">
        <v>0</v>
      </c>
    </row>
    <row r="47" spans="1:10" x14ac:dyDescent="0.2">
      <c r="A47" t="s">
        <v>585</v>
      </c>
      <c r="D47" s="10"/>
      <c r="E47" s="10"/>
      <c r="F47" s="10"/>
      <c r="G47" s="10"/>
      <c r="H47" s="41"/>
      <c r="I47" s="41"/>
      <c r="J47" s="41"/>
    </row>
    <row r="48" spans="1:10" x14ac:dyDescent="0.2">
      <c r="A48" t="s">
        <v>753</v>
      </c>
      <c r="B48" t="s">
        <v>754</v>
      </c>
      <c r="D48" s="10">
        <v>10000</v>
      </c>
      <c r="E48" s="10">
        <v>0</v>
      </c>
      <c r="F48" s="10">
        <v>10000</v>
      </c>
      <c r="G48" s="10">
        <v>0</v>
      </c>
      <c r="H48" s="41">
        <v>10000</v>
      </c>
      <c r="I48" s="41">
        <v>10000</v>
      </c>
      <c r="J48" s="41">
        <v>10000</v>
      </c>
    </row>
    <row r="49" spans="1:10" x14ac:dyDescent="0.2">
      <c r="A49" t="s">
        <v>755</v>
      </c>
      <c r="B49" t="s">
        <v>756</v>
      </c>
      <c r="D49" s="10">
        <v>0</v>
      </c>
      <c r="E49" s="10">
        <v>0</v>
      </c>
      <c r="F49" s="10">
        <v>0</v>
      </c>
      <c r="G49" s="10">
        <v>0</v>
      </c>
      <c r="H49" s="41">
        <v>162.19</v>
      </c>
      <c r="I49" s="41">
        <v>4300</v>
      </c>
      <c r="J49" s="41">
        <v>6379</v>
      </c>
    </row>
    <row r="50" spans="1:10" x14ac:dyDescent="0.2">
      <c r="A50" t="s">
        <v>757</v>
      </c>
      <c r="D50" s="10"/>
      <c r="E50" s="10"/>
      <c r="F50" s="10"/>
      <c r="G50" s="10"/>
      <c r="H50" s="41"/>
      <c r="I50" s="41"/>
      <c r="J50" s="41"/>
    </row>
    <row r="51" spans="1:10" x14ac:dyDescent="0.2">
      <c r="A51" t="s">
        <v>793</v>
      </c>
      <c r="B51" t="s">
        <v>794</v>
      </c>
      <c r="D51" s="10">
        <v>5000</v>
      </c>
      <c r="E51" s="10">
        <v>1636</v>
      </c>
      <c r="F51" s="10">
        <v>5000</v>
      </c>
      <c r="G51" s="10">
        <f>2496+896</f>
        <v>3392</v>
      </c>
      <c r="H51" s="41">
        <v>2676</v>
      </c>
      <c r="I51" s="41">
        <v>5360</v>
      </c>
      <c r="J51" s="41">
        <v>0</v>
      </c>
    </row>
    <row r="52" spans="1:10" x14ac:dyDescent="0.2">
      <c r="A52" t="s">
        <v>127</v>
      </c>
      <c r="D52" s="10"/>
      <c r="E52" s="10"/>
      <c r="F52" s="10"/>
      <c r="G52" s="10"/>
      <c r="H52" s="42"/>
      <c r="I52" s="42"/>
      <c r="J52" s="42"/>
    </row>
    <row r="53" spans="1:10" x14ac:dyDescent="0.2">
      <c r="A53" t="s">
        <v>731</v>
      </c>
      <c r="B53" t="s">
        <v>128</v>
      </c>
      <c r="D53" s="10">
        <v>700</v>
      </c>
      <c r="E53" s="10">
        <v>183.05</v>
      </c>
      <c r="F53" s="10">
        <v>700</v>
      </c>
      <c r="G53" s="10">
        <v>510.77</v>
      </c>
      <c r="H53" s="42">
        <v>192.53</v>
      </c>
      <c r="I53" s="42">
        <v>250</v>
      </c>
      <c r="J53" s="42">
        <v>1540</v>
      </c>
    </row>
    <row r="54" spans="1:10" x14ac:dyDescent="0.2">
      <c r="A54" t="s">
        <v>732</v>
      </c>
      <c r="B54" t="s">
        <v>130</v>
      </c>
      <c r="D54" s="10">
        <f>2665*12</f>
        <v>31980</v>
      </c>
      <c r="E54" s="10">
        <v>11400</v>
      </c>
      <c r="F54" s="10">
        <v>20520</v>
      </c>
      <c r="G54" s="10">
        <v>20520</v>
      </c>
      <c r="H54" s="42">
        <v>20520</v>
      </c>
      <c r="I54" s="42">
        <v>25650</v>
      </c>
      <c r="J54" s="42">
        <v>15390</v>
      </c>
    </row>
    <row r="55" spans="1:10" x14ac:dyDescent="0.2">
      <c r="A55" t="s">
        <v>733</v>
      </c>
      <c r="B55" t="s">
        <v>105</v>
      </c>
      <c r="D55" s="10">
        <v>13342</v>
      </c>
      <c r="E55" s="10">
        <v>4610</v>
      </c>
      <c r="F55" s="10">
        <v>13342</v>
      </c>
      <c r="G55" s="10">
        <f>6665+2289</f>
        <v>8954</v>
      </c>
      <c r="H55" s="41">
        <v>9994</v>
      </c>
      <c r="I55" s="41">
        <v>2449</v>
      </c>
      <c r="J55" s="41">
        <v>14618</v>
      </c>
    </row>
    <row r="56" spans="1:10" x14ac:dyDescent="0.2">
      <c r="A56" t="s">
        <v>697</v>
      </c>
      <c r="D56" s="10"/>
      <c r="E56" s="10"/>
      <c r="F56" s="10"/>
      <c r="G56" s="10"/>
      <c r="H56" s="41"/>
      <c r="I56" s="41"/>
      <c r="J56" s="41"/>
    </row>
    <row r="57" spans="1:10" x14ac:dyDescent="0.2">
      <c r="A57" t="s">
        <v>742</v>
      </c>
      <c r="B57" t="s">
        <v>743</v>
      </c>
      <c r="D57" s="10">
        <v>4841</v>
      </c>
      <c r="E57" s="10">
        <v>3064.72</v>
      </c>
      <c r="F57" s="10">
        <v>4841</v>
      </c>
      <c r="G57" s="10">
        <v>3792.57</v>
      </c>
      <c r="H57" s="42">
        <v>3864.55</v>
      </c>
      <c r="I57" s="42">
        <v>2731</v>
      </c>
      <c r="J57" s="42">
        <v>3547</v>
      </c>
    </row>
    <row r="58" spans="1:10" x14ac:dyDescent="0.2">
      <c r="A58" t="s">
        <v>744</v>
      </c>
      <c r="B58" t="s">
        <v>103</v>
      </c>
      <c r="D58" s="10">
        <v>12000</v>
      </c>
      <c r="E58" s="10">
        <v>5171.21</v>
      </c>
      <c r="F58" s="10">
        <v>12000</v>
      </c>
      <c r="G58" s="10">
        <v>9265.7999999999993</v>
      </c>
      <c r="H58" s="42">
        <v>7532.97</v>
      </c>
      <c r="I58" s="42">
        <v>11561</v>
      </c>
      <c r="J58" s="42">
        <v>7671</v>
      </c>
    </row>
    <row r="59" spans="1:10" x14ac:dyDescent="0.2">
      <c r="A59" t="s">
        <v>745</v>
      </c>
      <c r="B59" t="s">
        <v>102</v>
      </c>
      <c r="D59" s="10">
        <v>500</v>
      </c>
      <c r="E59" s="10">
        <v>73.52</v>
      </c>
      <c r="F59" s="10">
        <v>850</v>
      </c>
      <c r="G59" s="10">
        <v>0</v>
      </c>
      <c r="H59" s="42">
        <v>120</v>
      </c>
      <c r="I59" s="42">
        <v>736</v>
      </c>
      <c r="J59" s="42">
        <v>232</v>
      </c>
    </row>
    <row r="60" spans="1:10" x14ac:dyDescent="0.2">
      <c r="A60" t="s">
        <v>746</v>
      </c>
      <c r="B60" t="s">
        <v>697</v>
      </c>
      <c r="D60" s="10">
        <v>0</v>
      </c>
      <c r="E60" s="10">
        <v>0</v>
      </c>
      <c r="F60" s="10">
        <v>0</v>
      </c>
      <c r="G60" s="10">
        <v>0</v>
      </c>
      <c r="H60" s="42">
        <v>0</v>
      </c>
      <c r="I60" s="42">
        <v>1046</v>
      </c>
      <c r="J60" s="42">
        <v>0</v>
      </c>
    </row>
    <row r="61" spans="1:10" x14ac:dyDescent="0.2">
      <c r="A61" t="s">
        <v>747</v>
      </c>
      <c r="B61" t="s">
        <v>644</v>
      </c>
      <c r="D61" s="10">
        <v>1000</v>
      </c>
      <c r="E61" s="10">
        <v>756</v>
      </c>
      <c r="F61" s="10">
        <v>300</v>
      </c>
      <c r="G61" s="10">
        <v>168</v>
      </c>
      <c r="H61" s="42">
        <v>5</v>
      </c>
      <c r="I61" s="42">
        <v>136</v>
      </c>
      <c r="J61" s="42">
        <v>92</v>
      </c>
    </row>
    <row r="62" spans="1:10" x14ac:dyDescent="0.2">
      <c r="D62" s="10"/>
      <c r="E62" s="10"/>
      <c r="H62" s="42"/>
      <c r="I62" s="42"/>
      <c r="J62" s="42"/>
    </row>
    <row r="63" spans="1:10" x14ac:dyDescent="0.2">
      <c r="A63" s="36"/>
      <c r="C63" t="s">
        <v>65</v>
      </c>
      <c r="D63" s="10">
        <f>SUM(D13:D62)</f>
        <v>153959.49862</v>
      </c>
      <c r="E63" s="10">
        <f>SUM(E12:E61)</f>
        <v>73777.070000000007</v>
      </c>
      <c r="F63" s="22">
        <f>SUM(F13:F61)</f>
        <v>134221.12609999999</v>
      </c>
      <c r="G63" s="22">
        <f>SUM(G13:G61)</f>
        <v>102187.83</v>
      </c>
      <c r="H63" s="41">
        <f t="shared" ref="H63:J63" si="1">SUM(H13:H61)</f>
        <v>184712.56</v>
      </c>
      <c r="I63" s="41">
        <f t="shared" si="1"/>
        <v>125729</v>
      </c>
      <c r="J63" s="41">
        <f t="shared" si="1"/>
        <v>121649</v>
      </c>
    </row>
    <row r="64" spans="1:10" x14ac:dyDescent="0.2">
      <c r="A64" s="43"/>
      <c r="D64" s="10"/>
      <c r="E64" s="10"/>
      <c r="J64" s="36"/>
    </row>
    <row r="65" spans="1:11" x14ac:dyDescent="0.2">
      <c r="A65" s="36"/>
      <c r="B65" t="s">
        <v>780</v>
      </c>
      <c r="D65" s="10">
        <v>84740</v>
      </c>
      <c r="E65" s="10">
        <v>0</v>
      </c>
      <c r="F65" s="10">
        <v>84740</v>
      </c>
      <c r="G65" s="10">
        <v>84740</v>
      </c>
      <c r="H65" s="10">
        <v>84740</v>
      </c>
      <c r="I65" s="10">
        <v>94156</v>
      </c>
      <c r="K65" s="29"/>
    </row>
    <row r="66" spans="1:11" x14ac:dyDescent="0.2">
      <c r="B66" s="29"/>
      <c r="E66" s="10"/>
      <c r="F66" s="10"/>
      <c r="G66" s="10"/>
    </row>
    <row r="67" spans="1:11" x14ac:dyDescent="0.2">
      <c r="J67" s="22"/>
    </row>
    <row r="68" spans="1:11" x14ac:dyDescent="0.2">
      <c r="A68" t="s">
        <v>1054</v>
      </c>
      <c r="F68" s="22"/>
      <c r="G68" s="22"/>
      <c r="J68" s="22"/>
    </row>
    <row r="69" spans="1:11" x14ac:dyDescent="0.2">
      <c r="J69" s="22"/>
    </row>
  </sheetData>
  <phoneticPr fontId="2" type="noConversion"/>
  <pageMargins left="0.25" right="0.25" top="0.75" bottom="0.75" header="0.3" footer="0.3"/>
  <pageSetup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B23" sqref="B23"/>
    </sheetView>
  </sheetViews>
  <sheetFormatPr defaultRowHeight="12.75" x14ac:dyDescent="0.2"/>
  <cols>
    <col min="1" max="1" width="18.28515625" customWidth="1"/>
    <col min="2" max="2" width="27.42578125" customWidth="1"/>
    <col min="3" max="3" width="3.7109375" customWidth="1"/>
    <col min="4" max="7" width="11.7109375" customWidth="1"/>
    <col min="8" max="9" width="10.7109375" customWidth="1"/>
  </cols>
  <sheetData>
    <row r="1" spans="1:9" ht="15.75" x14ac:dyDescent="0.25">
      <c r="B1" s="14" t="s">
        <v>571</v>
      </c>
      <c r="C1" s="14"/>
      <c r="D1" s="1">
        <v>2015</v>
      </c>
      <c r="E1" s="51">
        <v>2014</v>
      </c>
      <c r="F1" s="51">
        <v>2014</v>
      </c>
      <c r="G1" s="51">
        <v>2013</v>
      </c>
      <c r="H1" s="51">
        <v>2012</v>
      </c>
      <c r="I1" s="51">
        <v>2010</v>
      </c>
    </row>
    <row r="2" spans="1:9" x14ac:dyDescent="0.2">
      <c r="A2" t="s">
        <v>89</v>
      </c>
      <c r="D2" s="1" t="s">
        <v>596</v>
      </c>
      <c r="E2" s="51" t="s">
        <v>1076</v>
      </c>
      <c r="F2" s="51" t="s">
        <v>596</v>
      </c>
      <c r="G2" s="51" t="s">
        <v>1002</v>
      </c>
      <c r="H2" s="51" t="s">
        <v>597</v>
      </c>
      <c r="I2" s="51" t="s">
        <v>597</v>
      </c>
    </row>
    <row r="3" spans="1:9" x14ac:dyDescent="0.2">
      <c r="A3" t="s">
        <v>223</v>
      </c>
    </row>
    <row r="4" spans="1:9" x14ac:dyDescent="0.2">
      <c r="A4" t="s">
        <v>209</v>
      </c>
      <c r="B4" t="s">
        <v>210</v>
      </c>
      <c r="D4" s="10">
        <v>1000</v>
      </c>
      <c r="E4" s="10">
        <v>89.25</v>
      </c>
      <c r="F4" s="10">
        <v>750</v>
      </c>
      <c r="G4" s="10">
        <v>0</v>
      </c>
      <c r="H4" s="10">
        <v>1436.5</v>
      </c>
      <c r="I4" s="10">
        <v>1532</v>
      </c>
    </row>
    <row r="5" spans="1:9" x14ac:dyDescent="0.2">
      <c r="A5" t="s">
        <v>573</v>
      </c>
      <c r="D5" s="10"/>
      <c r="E5" s="108"/>
      <c r="F5" s="10"/>
      <c r="G5" s="10"/>
      <c r="H5" s="10"/>
      <c r="I5" s="10"/>
    </row>
    <row r="6" spans="1:9" x14ac:dyDescent="0.2">
      <c r="A6" t="s">
        <v>211</v>
      </c>
      <c r="B6" t="s">
        <v>92</v>
      </c>
      <c r="D6" s="10">
        <v>3</v>
      </c>
      <c r="E6" s="108">
        <v>0</v>
      </c>
      <c r="F6" s="10">
        <v>3</v>
      </c>
      <c r="G6" s="10">
        <v>0</v>
      </c>
      <c r="H6" s="41">
        <v>5.27</v>
      </c>
      <c r="I6" s="41">
        <v>95</v>
      </c>
    </row>
    <row r="7" spans="1:9" x14ac:dyDescent="0.2">
      <c r="A7" t="s">
        <v>62</v>
      </c>
      <c r="B7" t="s">
        <v>94</v>
      </c>
      <c r="D7" s="10">
        <v>1</v>
      </c>
      <c r="E7" s="108">
        <v>0</v>
      </c>
      <c r="F7" s="10">
        <v>1</v>
      </c>
      <c r="G7" s="10">
        <v>0</v>
      </c>
      <c r="H7" s="41">
        <v>1.23</v>
      </c>
      <c r="I7" s="41">
        <v>22</v>
      </c>
    </row>
    <row r="8" spans="1:9" x14ac:dyDescent="0.2">
      <c r="D8" s="10"/>
      <c r="E8" s="108"/>
      <c r="F8" s="10"/>
      <c r="G8" s="10"/>
      <c r="H8" s="42"/>
      <c r="I8" s="42"/>
    </row>
    <row r="9" spans="1:9" x14ac:dyDescent="0.2">
      <c r="A9" s="29" t="s">
        <v>792</v>
      </c>
      <c r="B9" s="29" t="s">
        <v>1039</v>
      </c>
      <c r="D9" s="10">
        <v>500</v>
      </c>
      <c r="E9" s="10">
        <v>147.33000000000001</v>
      </c>
      <c r="F9" s="10">
        <v>146</v>
      </c>
      <c r="G9" s="10">
        <v>18.489999999999998</v>
      </c>
      <c r="H9" s="42">
        <v>276.32</v>
      </c>
      <c r="I9" s="42">
        <v>200</v>
      </c>
    </row>
    <row r="10" spans="1:9" x14ac:dyDescent="0.2">
      <c r="D10" s="10"/>
      <c r="E10" s="108"/>
      <c r="F10" s="10"/>
      <c r="G10" s="10"/>
      <c r="H10" s="42"/>
      <c r="I10" s="42"/>
    </row>
    <row r="11" spans="1:9" x14ac:dyDescent="0.2">
      <c r="A11" t="s">
        <v>63</v>
      </c>
      <c r="B11" t="s">
        <v>64</v>
      </c>
      <c r="D11" s="10">
        <v>196</v>
      </c>
      <c r="E11" s="108">
        <v>0</v>
      </c>
      <c r="F11" s="10">
        <v>0</v>
      </c>
      <c r="G11" s="10">
        <v>0</v>
      </c>
      <c r="H11" s="42">
        <v>0</v>
      </c>
      <c r="I11" s="42">
        <v>161</v>
      </c>
    </row>
    <row r="12" spans="1:9" x14ac:dyDescent="0.2">
      <c r="D12" s="10"/>
      <c r="E12" s="108"/>
      <c r="F12" s="10"/>
      <c r="G12" s="10"/>
      <c r="H12" s="42"/>
      <c r="I12" s="42"/>
    </row>
    <row r="13" spans="1:9" x14ac:dyDescent="0.2">
      <c r="A13" s="29"/>
      <c r="B13" s="29" t="s">
        <v>881</v>
      </c>
      <c r="D13" s="10"/>
      <c r="E13" s="108"/>
      <c r="F13" s="10">
        <v>900</v>
      </c>
      <c r="G13" s="10"/>
      <c r="H13" s="42"/>
      <c r="I13" s="42"/>
    </row>
    <row r="14" spans="1:9" x14ac:dyDescent="0.2">
      <c r="A14" s="29"/>
      <c r="B14" s="29" t="s">
        <v>882</v>
      </c>
      <c r="D14" s="10"/>
      <c r="E14" s="108"/>
      <c r="F14" s="10">
        <v>-900</v>
      </c>
      <c r="G14" s="10"/>
      <c r="H14" s="42"/>
      <c r="I14" s="42"/>
    </row>
    <row r="15" spans="1:9" x14ac:dyDescent="0.2">
      <c r="D15" s="10"/>
      <c r="E15" s="108"/>
      <c r="F15" s="10"/>
      <c r="G15" s="10"/>
      <c r="H15" s="42"/>
      <c r="I15" s="42"/>
    </row>
    <row r="16" spans="1:9" x14ac:dyDescent="0.2">
      <c r="B16" s="26" t="s">
        <v>65</v>
      </c>
      <c r="C16" s="26"/>
      <c r="D16" s="25">
        <f>SUM(D4:D14)</f>
        <v>1700</v>
      </c>
      <c r="E16" s="25">
        <f>SUM(E4:E14)</f>
        <v>236.58</v>
      </c>
      <c r="F16" s="25">
        <f>SUM(F4:F15)</f>
        <v>900</v>
      </c>
      <c r="G16" s="25">
        <v>0</v>
      </c>
      <c r="H16" s="41">
        <f>SUM(H4:H15)</f>
        <v>1719.32</v>
      </c>
      <c r="I16" s="41">
        <f>SUM(I4:I15)</f>
        <v>2010</v>
      </c>
    </row>
    <row r="17" spans="1:8" x14ac:dyDescent="0.2">
      <c r="H17" s="13"/>
    </row>
    <row r="18" spans="1:8" x14ac:dyDescent="0.2">
      <c r="A18" s="29" t="s">
        <v>1088</v>
      </c>
    </row>
    <row r="19" spans="1:8" x14ac:dyDescent="0.2">
      <c r="A19" t="s">
        <v>1086</v>
      </c>
      <c r="H19" s="13"/>
    </row>
    <row r="20" spans="1:8" x14ac:dyDescent="0.2">
      <c r="A20" t="s">
        <v>1087</v>
      </c>
      <c r="H20" s="13"/>
    </row>
    <row r="21" spans="1:8" ht="15.75" x14ac:dyDescent="0.25">
      <c r="B21" s="14"/>
      <c r="C21" s="14"/>
      <c r="D21" s="14"/>
      <c r="E21" s="14"/>
      <c r="F21" s="14"/>
      <c r="G21" s="14"/>
    </row>
    <row r="23" spans="1:8" x14ac:dyDescent="0.2">
      <c r="A23" s="29"/>
      <c r="B23" s="29"/>
      <c r="C23" s="29"/>
      <c r="D23" s="29"/>
      <c r="E23" s="29"/>
      <c r="F23" s="29"/>
      <c r="G23" s="29"/>
    </row>
    <row r="24" spans="1:8" x14ac:dyDescent="0.2">
      <c r="A24" s="29"/>
      <c r="B24" s="29"/>
      <c r="C24" s="29"/>
      <c r="D24" s="29"/>
      <c r="E24" s="29"/>
      <c r="F24" s="29"/>
      <c r="G24" s="29"/>
    </row>
    <row r="28" spans="1:8" x14ac:dyDescent="0.2">
      <c r="H28" s="13"/>
    </row>
    <row r="29" spans="1:8" x14ac:dyDescent="0.2">
      <c r="H29" s="13"/>
    </row>
    <row r="30" spans="1:8" x14ac:dyDescent="0.2">
      <c r="H30" s="25"/>
    </row>
  </sheetData>
  <phoneticPr fontId="2" type="noConversion"/>
  <pageMargins left="0.25" right="0.25" top="0.75" bottom="0.75" header="0.3" footer="0.3"/>
  <pageSetup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90"/>
  <sheetViews>
    <sheetView topLeftCell="A67" workbookViewId="0">
      <selection activeCell="D24" sqref="D24"/>
    </sheetView>
  </sheetViews>
  <sheetFormatPr defaultRowHeight="12.75" x14ac:dyDescent="0.2"/>
  <cols>
    <col min="1" max="1" width="18.28515625" customWidth="1"/>
    <col min="2" max="2" width="27.5703125" customWidth="1"/>
    <col min="3" max="3" width="6.7109375" customWidth="1"/>
    <col min="4" max="7" width="11.7109375" customWidth="1"/>
    <col min="8" max="9" width="10.7109375" customWidth="1"/>
    <col min="10" max="10" width="11.28515625" customWidth="1"/>
    <col min="11" max="12" width="10.7109375" customWidth="1"/>
  </cols>
  <sheetData>
    <row r="1" spans="1:12" ht="15.75" x14ac:dyDescent="0.25">
      <c r="B1" s="14" t="s">
        <v>3</v>
      </c>
      <c r="D1" s="1">
        <v>2015</v>
      </c>
      <c r="E1" s="51">
        <v>2014</v>
      </c>
      <c r="F1" s="51">
        <v>2014</v>
      </c>
      <c r="G1" s="51">
        <v>2013</v>
      </c>
      <c r="H1" s="69">
        <v>2012</v>
      </c>
      <c r="I1" s="51">
        <v>2011</v>
      </c>
      <c r="J1" s="17">
        <v>2010</v>
      </c>
    </row>
    <row r="2" spans="1:12" x14ac:dyDescent="0.2">
      <c r="A2" t="s">
        <v>47</v>
      </c>
      <c r="D2" s="1" t="s">
        <v>596</v>
      </c>
      <c r="E2" s="51" t="s">
        <v>1076</v>
      </c>
      <c r="F2" s="51" t="s">
        <v>596</v>
      </c>
      <c r="G2" s="51" t="s">
        <v>597</v>
      </c>
      <c r="H2" s="51" t="s">
        <v>597</v>
      </c>
      <c r="I2" s="51" t="s">
        <v>597</v>
      </c>
      <c r="J2" s="51" t="s">
        <v>597</v>
      </c>
    </row>
    <row r="3" spans="1:12" x14ac:dyDescent="0.2">
      <c r="A3" s="29" t="s">
        <v>983</v>
      </c>
      <c r="B3" s="29" t="s">
        <v>986</v>
      </c>
      <c r="D3" s="10">
        <v>2500</v>
      </c>
      <c r="E3" s="10">
        <v>1141.6199999999999</v>
      </c>
      <c r="F3" s="10">
        <v>7017</v>
      </c>
      <c r="G3" s="10">
        <v>2893.02</v>
      </c>
      <c r="H3" s="10">
        <f>3061.49+587.99+450+610.31+359.68-444.03</f>
        <v>4625.4399999999996</v>
      </c>
      <c r="I3" s="10">
        <f>2193+724+150+82+285-649</f>
        <v>2785</v>
      </c>
      <c r="J3" s="10">
        <f>4578+690+247-76+493-611</f>
        <v>5321</v>
      </c>
    </row>
    <row r="4" spans="1:12" x14ac:dyDescent="0.2">
      <c r="A4" s="29" t="s">
        <v>984</v>
      </c>
      <c r="B4" s="29" t="s">
        <v>985</v>
      </c>
      <c r="D4" s="10">
        <v>0</v>
      </c>
      <c r="E4" s="10">
        <v>381.41</v>
      </c>
      <c r="F4" s="10">
        <v>0</v>
      </c>
      <c r="G4" s="10">
        <v>195.07</v>
      </c>
      <c r="H4" s="10"/>
      <c r="I4" s="10"/>
      <c r="J4" s="10"/>
    </row>
    <row r="5" spans="1:12" x14ac:dyDescent="0.2">
      <c r="A5" s="29" t="s">
        <v>987</v>
      </c>
      <c r="B5" s="29" t="s">
        <v>988</v>
      </c>
      <c r="D5" s="10">
        <v>0</v>
      </c>
      <c r="E5" s="10">
        <v>150</v>
      </c>
      <c r="F5" s="10">
        <v>0</v>
      </c>
      <c r="G5" s="10">
        <v>250</v>
      </c>
      <c r="H5" s="10"/>
      <c r="I5" s="10"/>
      <c r="J5" s="10"/>
    </row>
    <row r="6" spans="1:12" x14ac:dyDescent="0.2">
      <c r="A6" t="s">
        <v>191</v>
      </c>
      <c r="B6" t="s">
        <v>192</v>
      </c>
      <c r="D6" s="10">
        <v>3000</v>
      </c>
      <c r="E6" s="10">
        <v>1067.29</v>
      </c>
      <c r="F6" s="10">
        <v>4000</v>
      </c>
      <c r="G6" s="10">
        <v>2337.92</v>
      </c>
      <c r="H6" s="10">
        <v>3477.48</v>
      </c>
      <c r="I6" s="10">
        <v>1953</v>
      </c>
      <c r="J6" s="10">
        <v>2437</v>
      </c>
    </row>
    <row r="7" spans="1:12" x14ac:dyDescent="0.2">
      <c r="A7" t="s">
        <v>193</v>
      </c>
      <c r="B7" t="s">
        <v>194</v>
      </c>
      <c r="D7" s="10">
        <v>32000</v>
      </c>
      <c r="E7" s="10">
        <v>22524.86</v>
      </c>
      <c r="F7" s="10">
        <v>39000</v>
      </c>
      <c r="G7" s="10">
        <v>27867.68</v>
      </c>
      <c r="H7" s="10">
        <v>32438.59</v>
      </c>
      <c r="I7" s="10">
        <v>35652</v>
      </c>
      <c r="J7" s="10">
        <v>38723</v>
      </c>
    </row>
    <row r="8" spans="1:12" x14ac:dyDescent="0.2">
      <c r="A8" t="s">
        <v>195</v>
      </c>
      <c r="B8" t="s">
        <v>196</v>
      </c>
      <c r="D8" s="10">
        <v>55000</v>
      </c>
      <c r="E8" s="10">
        <v>43055.68</v>
      </c>
      <c r="F8" s="10">
        <v>55000</v>
      </c>
      <c r="G8" s="10">
        <v>53905.38</v>
      </c>
      <c r="H8" s="10">
        <v>52812.98</v>
      </c>
      <c r="I8" s="10">
        <v>47357</v>
      </c>
      <c r="J8" s="10">
        <v>38808</v>
      </c>
    </row>
    <row r="9" spans="1:12" x14ac:dyDescent="0.2">
      <c r="A9" t="s">
        <v>197</v>
      </c>
      <c r="B9" t="s">
        <v>198</v>
      </c>
      <c r="D9" s="10">
        <v>60000</v>
      </c>
      <c r="E9" s="10">
        <v>52097.71</v>
      </c>
      <c r="F9" s="10">
        <v>55000</v>
      </c>
      <c r="G9" s="10">
        <v>54489.279999999999</v>
      </c>
      <c r="H9" s="10">
        <v>60533.39</v>
      </c>
      <c r="I9" s="10">
        <v>66806</v>
      </c>
      <c r="J9" s="10">
        <v>87314</v>
      </c>
    </row>
    <row r="10" spans="1:12" x14ac:dyDescent="0.2">
      <c r="A10" t="s">
        <v>199</v>
      </c>
      <c r="B10" t="s">
        <v>200</v>
      </c>
      <c r="D10" s="10">
        <v>200000</v>
      </c>
      <c r="E10" s="10">
        <v>161279.12</v>
      </c>
      <c r="F10" s="10">
        <v>180000</v>
      </c>
      <c r="G10" s="10">
        <v>201706.7</v>
      </c>
      <c r="H10" s="10">
        <v>197528.7</v>
      </c>
      <c r="I10" s="10">
        <v>177241</v>
      </c>
      <c r="J10" s="10">
        <v>172350</v>
      </c>
    </row>
    <row r="11" spans="1:12" x14ac:dyDescent="0.2">
      <c r="A11" t="s">
        <v>201</v>
      </c>
      <c r="B11" t="s">
        <v>202</v>
      </c>
      <c r="D11" s="10">
        <v>8000</v>
      </c>
      <c r="E11" s="10">
        <v>5702.91</v>
      </c>
      <c r="F11" s="10">
        <v>10000</v>
      </c>
      <c r="G11" s="10">
        <v>7265.67</v>
      </c>
      <c r="H11" s="10">
        <v>7154</v>
      </c>
      <c r="I11" s="10">
        <v>7873</v>
      </c>
      <c r="J11" s="10">
        <v>8329</v>
      </c>
    </row>
    <row r="12" spans="1:12" x14ac:dyDescent="0.2">
      <c r="A12" t="s">
        <v>203</v>
      </c>
      <c r="B12" t="s">
        <v>204</v>
      </c>
      <c r="D12" s="10">
        <v>18000</v>
      </c>
      <c r="E12" s="10">
        <v>15011.01</v>
      </c>
      <c r="F12" s="10">
        <v>18000</v>
      </c>
      <c r="G12" s="10">
        <v>19529</v>
      </c>
      <c r="H12" s="42">
        <v>16315.2</v>
      </c>
      <c r="I12" s="42">
        <v>13134</v>
      </c>
      <c r="J12" s="42">
        <v>15366</v>
      </c>
    </row>
    <row r="13" spans="1:12" x14ac:dyDescent="0.2">
      <c r="B13" s="30"/>
      <c r="D13" s="10"/>
      <c r="E13" s="10"/>
      <c r="F13" s="10"/>
      <c r="G13" s="10"/>
      <c r="H13" s="48"/>
      <c r="I13" s="48"/>
      <c r="J13" s="48"/>
    </row>
    <row r="14" spans="1:12" x14ac:dyDescent="0.2">
      <c r="A14" t="s">
        <v>692</v>
      </c>
      <c r="B14" s="26" t="s">
        <v>65</v>
      </c>
      <c r="D14" s="10">
        <f>SUM(D3:D13)</f>
        <v>378500</v>
      </c>
      <c r="E14" s="10">
        <f>SUM(E3:E12)</f>
        <v>302411.61</v>
      </c>
      <c r="F14" s="10">
        <f>SUM(F3:F12)</f>
        <v>368017</v>
      </c>
      <c r="G14" s="10">
        <f>SUM(G3:G12)</f>
        <v>370439.72000000003</v>
      </c>
      <c r="H14" s="41">
        <f>SUM(H3:H13)</f>
        <v>374885.78</v>
      </c>
      <c r="I14" s="41">
        <f>SUM(I3:I13)</f>
        <v>352801</v>
      </c>
      <c r="J14" s="41">
        <f>SUM(J3:J13)</f>
        <v>368648</v>
      </c>
      <c r="L14" s="22"/>
    </row>
    <row r="15" spans="1:12" x14ac:dyDescent="0.2">
      <c r="A15" t="s">
        <v>223</v>
      </c>
      <c r="D15" s="10"/>
      <c r="E15" s="10"/>
      <c r="F15" s="10"/>
      <c r="G15" s="10"/>
      <c r="H15" s="42"/>
      <c r="I15" s="42"/>
      <c r="J15" s="42"/>
      <c r="L15" s="10"/>
    </row>
    <row r="16" spans="1:12" x14ac:dyDescent="0.2">
      <c r="A16" t="s">
        <v>511</v>
      </c>
      <c r="B16" t="s">
        <v>109</v>
      </c>
      <c r="D16" s="10">
        <v>0</v>
      </c>
      <c r="E16" s="10">
        <v>0</v>
      </c>
      <c r="F16" s="10">
        <v>27000</v>
      </c>
      <c r="G16" s="10">
        <v>0</v>
      </c>
      <c r="H16" s="41">
        <v>0</v>
      </c>
      <c r="I16" s="41">
        <v>0</v>
      </c>
      <c r="J16" s="41">
        <v>0</v>
      </c>
    </row>
    <row r="17" spans="1:10" x14ac:dyDescent="0.2">
      <c r="A17" t="s">
        <v>512</v>
      </c>
      <c r="B17" t="s">
        <v>54</v>
      </c>
      <c r="D17" s="10">
        <v>75000</v>
      </c>
      <c r="E17" s="10">
        <v>52837.99</v>
      </c>
      <c r="F17" s="10">
        <v>33280</v>
      </c>
      <c r="G17" s="10">
        <v>68706.06</v>
      </c>
      <c r="H17" s="41">
        <v>68516.03</v>
      </c>
      <c r="I17" s="41">
        <f>498+74926</f>
        <v>75424</v>
      </c>
      <c r="J17" s="41">
        <v>73382</v>
      </c>
    </row>
    <row r="18" spans="1:10" x14ac:dyDescent="0.2">
      <c r="A18" s="29" t="s">
        <v>873</v>
      </c>
      <c r="B18" s="29" t="s">
        <v>874</v>
      </c>
      <c r="D18" s="10">
        <v>0</v>
      </c>
      <c r="E18" s="10">
        <v>551.41</v>
      </c>
      <c r="F18" s="10">
        <v>0</v>
      </c>
      <c r="G18" s="10">
        <v>1101.58</v>
      </c>
      <c r="H18" s="41">
        <v>446.32</v>
      </c>
      <c r="I18" s="41">
        <v>0</v>
      </c>
      <c r="J18" s="41">
        <v>0</v>
      </c>
    </row>
    <row r="19" spans="1:10" x14ac:dyDescent="0.2">
      <c r="A19" t="s">
        <v>219</v>
      </c>
      <c r="D19" s="10"/>
      <c r="E19" s="10"/>
      <c r="F19" s="10"/>
      <c r="G19" s="10"/>
      <c r="H19" s="42"/>
      <c r="I19" s="42"/>
      <c r="J19" s="42"/>
    </row>
    <row r="20" spans="1:10" x14ac:dyDescent="0.2">
      <c r="A20" t="s">
        <v>513</v>
      </c>
      <c r="B20" t="s">
        <v>221</v>
      </c>
      <c r="D20" s="10">
        <f>D17*0.075</f>
        <v>5625</v>
      </c>
      <c r="E20" s="10">
        <v>3008.47</v>
      </c>
      <c r="F20" s="10">
        <f>SUM(F16:F18)*0.0725</f>
        <v>4370.2999999999993</v>
      </c>
      <c r="G20" s="10">
        <v>4154.8500000000004</v>
      </c>
      <c r="H20" s="41">
        <v>4192.1899999999996</v>
      </c>
      <c r="I20" s="41">
        <v>4724</v>
      </c>
      <c r="J20" s="41">
        <v>4524</v>
      </c>
    </row>
    <row r="21" spans="1:10" x14ac:dyDescent="0.2">
      <c r="A21" t="s">
        <v>514</v>
      </c>
      <c r="B21" t="s">
        <v>92</v>
      </c>
      <c r="D21" s="10">
        <f>D17*0.062</f>
        <v>4650</v>
      </c>
      <c r="E21" s="10">
        <v>3508.07</v>
      </c>
      <c r="F21" s="10">
        <f>SUM(F16:F18)*0.062</f>
        <v>3737.36</v>
      </c>
      <c r="G21" s="10">
        <v>4322.6899999999996</v>
      </c>
      <c r="H21" s="42">
        <v>4266.18</v>
      </c>
      <c r="I21" s="42">
        <v>4632</v>
      </c>
      <c r="J21" s="41">
        <v>4473</v>
      </c>
    </row>
    <row r="22" spans="1:10" x14ac:dyDescent="0.2">
      <c r="A22" t="s">
        <v>515</v>
      </c>
      <c r="B22" t="s">
        <v>94</v>
      </c>
      <c r="D22" s="10">
        <f>D17*0.0145</f>
        <v>1087.5</v>
      </c>
      <c r="E22" s="10">
        <v>820.4</v>
      </c>
      <c r="F22" s="10">
        <f>SUM(F16:F18)*0.0145</f>
        <v>874.06000000000006</v>
      </c>
      <c r="G22" s="10">
        <v>1011.01</v>
      </c>
      <c r="H22" s="42">
        <v>997.72</v>
      </c>
      <c r="I22" s="42">
        <v>1083</v>
      </c>
      <c r="J22" s="41">
        <v>1046</v>
      </c>
    </row>
    <row r="23" spans="1:10" x14ac:dyDescent="0.2">
      <c r="A23" t="s">
        <v>214</v>
      </c>
      <c r="D23" s="10"/>
      <c r="E23" s="10"/>
      <c r="F23" s="10"/>
      <c r="G23" s="10"/>
      <c r="H23" s="42"/>
      <c r="I23" s="42"/>
      <c r="J23" s="42"/>
    </row>
    <row r="24" spans="1:10" x14ac:dyDescent="0.2">
      <c r="A24" t="s">
        <v>516</v>
      </c>
      <c r="B24" t="s">
        <v>216</v>
      </c>
      <c r="D24" s="10">
        <f>(803*12)*0.625</f>
        <v>6022.5</v>
      </c>
      <c r="E24" s="10">
        <v>4553.01</v>
      </c>
      <c r="F24" s="10">
        <f>803*12</f>
        <v>9636</v>
      </c>
      <c r="G24" s="10">
        <v>2961.66</v>
      </c>
      <c r="H24" s="41">
        <v>0</v>
      </c>
      <c r="I24" s="41">
        <v>0</v>
      </c>
      <c r="J24" s="41">
        <v>0</v>
      </c>
    </row>
    <row r="25" spans="1:10" x14ac:dyDescent="0.2">
      <c r="A25" t="s">
        <v>777</v>
      </c>
      <c r="B25" t="s">
        <v>218</v>
      </c>
      <c r="D25" s="10">
        <f>(56.61*12)*0.625</f>
        <v>424.57499999999993</v>
      </c>
      <c r="E25" s="10">
        <v>321.02999999999997</v>
      </c>
      <c r="F25" s="10">
        <f>56.61*12</f>
        <v>679.31999999999994</v>
      </c>
      <c r="G25" s="10">
        <v>316.94</v>
      </c>
      <c r="H25" s="42">
        <v>283.68</v>
      </c>
      <c r="I25" s="42">
        <v>126</v>
      </c>
      <c r="J25" s="42">
        <v>0</v>
      </c>
    </row>
    <row r="26" spans="1:10" x14ac:dyDescent="0.2">
      <c r="A26" t="s">
        <v>776</v>
      </c>
      <c r="B26" t="s">
        <v>664</v>
      </c>
      <c r="D26" s="10">
        <v>10000</v>
      </c>
      <c r="E26" s="10">
        <v>0</v>
      </c>
      <c r="F26" s="10">
        <v>0</v>
      </c>
      <c r="G26" s="10">
        <v>0</v>
      </c>
      <c r="H26" s="42">
        <v>3652</v>
      </c>
      <c r="I26" s="42">
        <v>0</v>
      </c>
      <c r="J26" s="42">
        <v>10672</v>
      </c>
    </row>
    <row r="27" spans="1:10" x14ac:dyDescent="0.2">
      <c r="A27" t="s">
        <v>50</v>
      </c>
      <c r="D27" s="10"/>
      <c r="E27" s="10"/>
      <c r="F27" s="10"/>
      <c r="G27" s="10"/>
      <c r="H27" s="42"/>
      <c r="I27" s="42"/>
      <c r="J27" s="42"/>
    </row>
    <row r="28" spans="1:10" x14ac:dyDescent="0.2">
      <c r="A28" t="s">
        <v>517</v>
      </c>
      <c r="B28" t="s">
        <v>213</v>
      </c>
      <c r="D28" s="10">
        <v>2000</v>
      </c>
      <c r="E28" s="10">
        <v>0</v>
      </c>
      <c r="F28" s="10">
        <v>2930</v>
      </c>
      <c r="G28" s="10">
        <v>1784</v>
      </c>
      <c r="H28" s="41">
        <v>2330</v>
      </c>
      <c r="I28" s="41">
        <v>4494</v>
      </c>
      <c r="J28" s="41">
        <v>2185</v>
      </c>
    </row>
    <row r="29" spans="1:10" x14ac:dyDescent="0.2">
      <c r="A29" t="s">
        <v>36</v>
      </c>
      <c r="D29" s="10"/>
      <c r="E29" s="10"/>
      <c r="F29" s="10"/>
      <c r="G29" s="10"/>
      <c r="H29" s="42"/>
      <c r="I29" s="42"/>
      <c r="J29" s="42"/>
    </row>
    <row r="30" spans="1:10" x14ac:dyDescent="0.2">
      <c r="A30" t="s">
        <v>518</v>
      </c>
      <c r="B30" t="s">
        <v>38</v>
      </c>
      <c r="D30" s="10">
        <v>200</v>
      </c>
      <c r="E30" s="10">
        <v>182.43</v>
      </c>
      <c r="F30" s="10">
        <v>28</v>
      </c>
      <c r="G30" s="10">
        <v>214.25</v>
      </c>
      <c r="H30" s="42">
        <v>52.04</v>
      </c>
      <c r="I30" s="42">
        <v>62</v>
      </c>
      <c r="J30" s="42">
        <v>5</v>
      </c>
    </row>
    <row r="31" spans="1:10" x14ac:dyDescent="0.2">
      <c r="A31" t="s">
        <v>519</v>
      </c>
      <c r="B31" t="s">
        <v>40</v>
      </c>
      <c r="D31" s="10">
        <v>150</v>
      </c>
      <c r="E31" s="10">
        <v>253.48</v>
      </c>
      <c r="F31" s="10">
        <v>143</v>
      </c>
      <c r="G31" s="10">
        <v>255.78</v>
      </c>
      <c r="H31" s="42">
        <v>69.62</v>
      </c>
      <c r="I31" s="42">
        <v>0</v>
      </c>
      <c r="J31" s="42">
        <v>249</v>
      </c>
    </row>
    <row r="32" spans="1:10" x14ac:dyDescent="0.2">
      <c r="A32" t="s">
        <v>520</v>
      </c>
      <c r="B32" t="s">
        <v>49</v>
      </c>
      <c r="D32" s="10">
        <v>500</v>
      </c>
      <c r="E32" s="10">
        <v>432.49</v>
      </c>
      <c r="F32" s="10">
        <v>1135</v>
      </c>
      <c r="G32" s="10">
        <v>280.82</v>
      </c>
      <c r="H32" s="42">
        <v>3331.3</v>
      </c>
      <c r="I32" s="42">
        <f>604+34</f>
        <v>638</v>
      </c>
      <c r="J32" s="42">
        <v>1241</v>
      </c>
    </row>
    <row r="33" spans="1:11" x14ac:dyDescent="0.2">
      <c r="A33" t="s">
        <v>180</v>
      </c>
      <c r="D33" s="10"/>
      <c r="E33" s="10"/>
      <c r="F33" s="10"/>
      <c r="G33" s="10"/>
      <c r="H33" s="42"/>
      <c r="I33" s="42"/>
      <c r="J33" s="42"/>
    </row>
    <row r="34" spans="1:11" x14ac:dyDescent="0.2">
      <c r="A34" t="s">
        <v>521</v>
      </c>
      <c r="B34" t="s">
        <v>182</v>
      </c>
      <c r="D34" s="10">
        <v>700</v>
      </c>
      <c r="E34" s="10">
        <v>803.42</v>
      </c>
      <c r="F34" s="10">
        <v>606</v>
      </c>
      <c r="G34" s="10">
        <v>781.46</v>
      </c>
      <c r="H34" s="42">
        <v>571.79</v>
      </c>
      <c r="I34" s="42">
        <v>742</v>
      </c>
      <c r="J34" s="42">
        <v>500</v>
      </c>
    </row>
    <row r="35" spans="1:11" x14ac:dyDescent="0.2">
      <c r="A35" t="s">
        <v>522</v>
      </c>
      <c r="B35" t="s">
        <v>32</v>
      </c>
      <c r="D35" s="10">
        <v>800</v>
      </c>
      <c r="E35" s="10">
        <v>662.03</v>
      </c>
      <c r="F35" s="10">
        <v>844</v>
      </c>
      <c r="G35" s="10">
        <v>733.36</v>
      </c>
      <c r="H35" s="42">
        <v>840.7</v>
      </c>
      <c r="I35" s="42">
        <v>482</v>
      </c>
      <c r="J35" s="42">
        <v>1347</v>
      </c>
    </row>
    <row r="36" spans="1:11" x14ac:dyDescent="0.2">
      <c r="A36" t="s">
        <v>523</v>
      </c>
      <c r="B36" t="s">
        <v>34</v>
      </c>
      <c r="D36" s="10">
        <v>0</v>
      </c>
      <c r="E36" s="10">
        <v>0</v>
      </c>
      <c r="F36" s="10">
        <v>140</v>
      </c>
      <c r="G36" s="10">
        <v>0</v>
      </c>
      <c r="H36" s="42">
        <v>409.71</v>
      </c>
      <c r="I36" s="42">
        <v>362</v>
      </c>
      <c r="J36" s="42">
        <v>0</v>
      </c>
    </row>
    <row r="37" spans="1:11" x14ac:dyDescent="0.2">
      <c r="A37" t="s">
        <v>524</v>
      </c>
      <c r="B37" t="s">
        <v>35</v>
      </c>
      <c r="D37" s="10">
        <v>2000</v>
      </c>
      <c r="E37" s="10">
        <v>1867.01</v>
      </c>
      <c r="F37" s="10">
        <v>3563</v>
      </c>
      <c r="G37" s="10">
        <v>1666.1</v>
      </c>
      <c r="H37" s="42">
        <v>1604.01</v>
      </c>
      <c r="I37" s="42">
        <v>1134</v>
      </c>
      <c r="J37" s="42">
        <v>2027</v>
      </c>
    </row>
    <row r="38" spans="1:11" x14ac:dyDescent="0.2">
      <c r="A38" t="s">
        <v>23</v>
      </c>
      <c r="D38" s="10"/>
      <c r="E38" s="10"/>
      <c r="F38" s="10"/>
      <c r="G38" s="10"/>
      <c r="H38" s="42"/>
      <c r="I38" s="42"/>
      <c r="J38" s="42"/>
    </row>
    <row r="39" spans="1:11" x14ac:dyDescent="0.2">
      <c r="A39" t="s">
        <v>525</v>
      </c>
      <c r="B39" t="s">
        <v>171</v>
      </c>
      <c r="D39" s="10">
        <v>200</v>
      </c>
      <c r="E39" s="10">
        <v>148.15</v>
      </c>
      <c r="F39" s="10">
        <v>217</v>
      </c>
      <c r="G39" s="10">
        <v>144.75</v>
      </c>
      <c r="H39" s="42">
        <v>96.51</v>
      </c>
      <c r="I39" s="42">
        <v>10</v>
      </c>
      <c r="J39" s="42">
        <v>133</v>
      </c>
    </row>
    <row r="40" spans="1:11" x14ac:dyDescent="0.2">
      <c r="A40" t="s">
        <v>526</v>
      </c>
      <c r="B40" t="s">
        <v>174</v>
      </c>
      <c r="D40" s="10">
        <v>0</v>
      </c>
      <c r="E40" s="10">
        <v>2279.2800000000002</v>
      </c>
      <c r="F40" s="10">
        <v>6500</v>
      </c>
      <c r="G40" s="10">
        <v>0</v>
      </c>
      <c r="H40" s="42">
        <v>0</v>
      </c>
      <c r="I40" s="42">
        <v>21</v>
      </c>
      <c r="J40" s="42">
        <v>0</v>
      </c>
    </row>
    <row r="41" spans="1:11" x14ac:dyDescent="0.2">
      <c r="A41" t="s">
        <v>527</v>
      </c>
      <c r="B41" t="s">
        <v>177</v>
      </c>
      <c r="D41" s="10">
        <v>0</v>
      </c>
      <c r="E41" s="10">
        <v>0</v>
      </c>
      <c r="F41" s="10">
        <v>0</v>
      </c>
      <c r="G41" s="10">
        <v>1101.04</v>
      </c>
      <c r="H41" s="42">
        <v>205.73</v>
      </c>
      <c r="I41" s="42">
        <v>148</v>
      </c>
      <c r="J41" s="42">
        <v>210</v>
      </c>
      <c r="K41" s="29"/>
    </row>
    <row r="42" spans="1:11" x14ac:dyDescent="0.2">
      <c r="A42" t="s">
        <v>528</v>
      </c>
      <c r="B42" t="s">
        <v>179</v>
      </c>
      <c r="D42" s="10">
        <v>0</v>
      </c>
      <c r="E42" s="10">
        <v>110</v>
      </c>
      <c r="F42" s="10">
        <v>400</v>
      </c>
      <c r="G42" s="10">
        <v>4.2</v>
      </c>
      <c r="H42" s="42">
        <v>22.6</v>
      </c>
      <c r="I42" s="42">
        <v>539</v>
      </c>
      <c r="J42" s="42">
        <v>889</v>
      </c>
    </row>
    <row r="43" spans="1:11" x14ac:dyDescent="0.2">
      <c r="A43" t="s">
        <v>17</v>
      </c>
      <c r="D43" s="10"/>
      <c r="E43" s="10"/>
      <c r="F43" s="10"/>
      <c r="G43" s="10"/>
      <c r="H43" s="42"/>
      <c r="I43" s="42"/>
      <c r="J43" s="42"/>
    </row>
    <row r="44" spans="1:11" x14ac:dyDescent="0.2">
      <c r="A44" t="s">
        <v>529</v>
      </c>
      <c r="B44" t="s">
        <v>18</v>
      </c>
      <c r="D44" s="10">
        <v>42000</v>
      </c>
      <c r="E44" s="10">
        <v>46780.42</v>
      </c>
      <c r="F44" s="10">
        <v>42000</v>
      </c>
      <c r="G44" s="10">
        <v>42674.47</v>
      </c>
      <c r="H44" s="42">
        <v>46259.47</v>
      </c>
      <c r="I44" s="42">
        <v>39842</v>
      </c>
      <c r="J44" s="42">
        <v>32769</v>
      </c>
    </row>
    <row r="45" spans="1:11" x14ac:dyDescent="0.2">
      <c r="A45" t="s">
        <v>530</v>
      </c>
      <c r="B45" t="s">
        <v>19</v>
      </c>
      <c r="D45" s="10">
        <v>170000</v>
      </c>
      <c r="E45" s="10">
        <v>151009.62</v>
      </c>
      <c r="F45" s="10">
        <v>165000</v>
      </c>
      <c r="G45" s="10">
        <v>172842.3</v>
      </c>
      <c r="H45" s="42">
        <v>161321.17000000001</v>
      </c>
      <c r="I45" s="42">
        <v>163495</v>
      </c>
      <c r="J45" s="42">
        <v>163453</v>
      </c>
    </row>
    <row r="46" spans="1:11" x14ac:dyDescent="0.2">
      <c r="A46" t="s">
        <v>531</v>
      </c>
      <c r="B46" t="s">
        <v>20</v>
      </c>
      <c r="D46" s="10">
        <v>10000</v>
      </c>
      <c r="E46" s="10">
        <v>10134.469999999999</v>
      </c>
      <c r="F46" s="10">
        <v>12000</v>
      </c>
      <c r="G46" s="10">
        <v>13298.9</v>
      </c>
      <c r="H46" s="42">
        <v>9686.84</v>
      </c>
      <c r="I46" s="42">
        <v>9350</v>
      </c>
      <c r="J46" s="42">
        <v>9792</v>
      </c>
    </row>
    <row r="47" spans="1:11" x14ac:dyDescent="0.2">
      <c r="A47" t="s">
        <v>532</v>
      </c>
      <c r="B47" t="s">
        <v>21</v>
      </c>
      <c r="D47" s="10">
        <v>7000</v>
      </c>
      <c r="E47" s="10">
        <v>7329.95</v>
      </c>
      <c r="F47" s="10">
        <v>8000</v>
      </c>
      <c r="G47" s="10">
        <v>6157</v>
      </c>
      <c r="H47" s="42">
        <v>6635.62</v>
      </c>
      <c r="I47" s="42">
        <v>6472</v>
      </c>
      <c r="J47" s="42">
        <v>8778</v>
      </c>
    </row>
    <row r="48" spans="1:11" x14ac:dyDescent="0.2">
      <c r="A48" t="s">
        <v>533</v>
      </c>
      <c r="B48" t="s">
        <v>22</v>
      </c>
      <c r="D48" s="10">
        <v>4000</v>
      </c>
      <c r="E48" s="10">
        <v>2600.6</v>
      </c>
      <c r="F48" s="10">
        <v>4000</v>
      </c>
      <c r="G48" s="10">
        <v>3590.24</v>
      </c>
      <c r="H48" s="42">
        <v>4905</v>
      </c>
      <c r="I48" s="42">
        <v>3131</v>
      </c>
      <c r="J48" s="42">
        <v>1166</v>
      </c>
    </row>
    <row r="49" spans="1:10" x14ac:dyDescent="0.2">
      <c r="A49" s="29" t="s">
        <v>875</v>
      </c>
      <c r="B49" s="29" t="s">
        <v>876</v>
      </c>
      <c r="D49" s="10">
        <v>0</v>
      </c>
      <c r="E49" s="10">
        <v>81.45</v>
      </c>
      <c r="F49" s="10">
        <v>0</v>
      </c>
      <c r="G49" s="10">
        <v>0</v>
      </c>
      <c r="H49" s="42">
        <v>62.9</v>
      </c>
      <c r="I49" s="42">
        <v>0</v>
      </c>
      <c r="J49" s="42">
        <v>0</v>
      </c>
    </row>
    <row r="50" spans="1:10" x14ac:dyDescent="0.2">
      <c r="A50" t="s">
        <v>6</v>
      </c>
      <c r="D50" s="10"/>
      <c r="E50" s="10"/>
      <c r="F50" s="10"/>
      <c r="G50" s="10"/>
      <c r="H50" s="42"/>
      <c r="I50" s="42"/>
      <c r="J50" s="42"/>
    </row>
    <row r="51" spans="1:10" x14ac:dyDescent="0.2">
      <c r="A51" t="s">
        <v>534</v>
      </c>
      <c r="B51" t="s">
        <v>8</v>
      </c>
      <c r="D51" s="10">
        <v>2000</v>
      </c>
      <c r="E51" s="10">
        <v>3168.1</v>
      </c>
      <c r="F51" s="10">
        <v>2303</v>
      </c>
      <c r="G51" s="10">
        <v>1948</v>
      </c>
      <c r="H51" s="42">
        <v>1893</v>
      </c>
      <c r="I51" s="42">
        <v>1893</v>
      </c>
      <c r="J51" s="42">
        <v>2582</v>
      </c>
    </row>
    <row r="52" spans="1:10" x14ac:dyDescent="0.2">
      <c r="A52" s="29" t="s">
        <v>871</v>
      </c>
      <c r="B52" s="29" t="s">
        <v>872</v>
      </c>
      <c r="D52" s="10">
        <v>2000</v>
      </c>
      <c r="E52" s="10">
        <v>3899.11</v>
      </c>
      <c r="F52" s="10">
        <v>0</v>
      </c>
      <c r="G52" s="10">
        <v>2067.7600000000002</v>
      </c>
      <c r="H52" s="42">
        <v>1992.82</v>
      </c>
      <c r="I52" s="42">
        <v>0</v>
      </c>
      <c r="J52" s="42">
        <v>0</v>
      </c>
    </row>
    <row r="53" spans="1:10" x14ac:dyDescent="0.2">
      <c r="A53" t="s">
        <v>784</v>
      </c>
      <c r="B53" s="29" t="s">
        <v>911</v>
      </c>
      <c r="D53" s="10">
        <v>6000</v>
      </c>
      <c r="E53" s="10">
        <v>3471.49</v>
      </c>
      <c r="F53" s="10">
        <v>6000</v>
      </c>
      <c r="G53" s="10">
        <v>58.42</v>
      </c>
      <c r="H53" s="42">
        <v>215.2</v>
      </c>
      <c r="I53" s="42">
        <f>1993+136</f>
        <v>2129</v>
      </c>
      <c r="J53" s="42">
        <v>30</v>
      </c>
    </row>
    <row r="54" spans="1:10" x14ac:dyDescent="0.2">
      <c r="A54" t="s">
        <v>588</v>
      </c>
      <c r="D54" s="10"/>
      <c r="E54" s="10"/>
      <c r="F54" s="10"/>
      <c r="G54" s="10"/>
      <c r="H54" s="42"/>
      <c r="I54" s="42"/>
      <c r="J54" s="42"/>
    </row>
    <row r="55" spans="1:10" x14ac:dyDescent="0.2">
      <c r="A55" t="s">
        <v>535</v>
      </c>
      <c r="B55" t="s">
        <v>100</v>
      </c>
      <c r="D55" s="10">
        <v>1600</v>
      </c>
      <c r="E55" s="10">
        <v>1114.9000000000001</v>
      </c>
      <c r="F55" s="10">
        <v>1583</v>
      </c>
      <c r="G55" s="10">
        <v>1540.72</v>
      </c>
      <c r="H55" s="42">
        <v>1518.59</v>
      </c>
      <c r="I55" s="42">
        <v>1537</v>
      </c>
      <c r="J55" s="42">
        <v>1335</v>
      </c>
    </row>
    <row r="56" spans="1:10" x14ac:dyDescent="0.2">
      <c r="A56" t="s">
        <v>165</v>
      </c>
      <c r="D56" s="10"/>
      <c r="E56" s="10"/>
      <c r="F56" s="10"/>
      <c r="G56" s="10"/>
      <c r="H56" s="42"/>
      <c r="I56" s="42"/>
      <c r="J56" s="42"/>
    </row>
    <row r="57" spans="1:10" x14ac:dyDescent="0.2">
      <c r="A57" t="s">
        <v>687</v>
      </c>
      <c r="B57" t="s">
        <v>167</v>
      </c>
      <c r="D57" s="10">
        <v>0</v>
      </c>
      <c r="E57" s="10">
        <v>85.12</v>
      </c>
      <c r="F57" s="10">
        <v>0</v>
      </c>
      <c r="G57" s="10">
        <v>154.56</v>
      </c>
      <c r="H57" s="42">
        <v>292.60000000000002</v>
      </c>
      <c r="I57" s="42">
        <v>121</v>
      </c>
      <c r="J57" s="42">
        <v>80</v>
      </c>
    </row>
    <row r="58" spans="1:10" x14ac:dyDescent="0.2">
      <c r="A58" t="s">
        <v>536</v>
      </c>
      <c r="B58" t="s">
        <v>55</v>
      </c>
      <c r="D58" s="10">
        <v>1600</v>
      </c>
      <c r="E58" s="10">
        <v>1548.83</v>
      </c>
      <c r="F58" s="10">
        <v>1500</v>
      </c>
      <c r="G58" s="10">
        <v>1844.16</v>
      </c>
      <c r="H58" s="42">
        <v>1579.77</v>
      </c>
      <c r="I58" s="42">
        <v>1575</v>
      </c>
      <c r="J58" s="42">
        <v>1391</v>
      </c>
    </row>
    <row r="59" spans="1:10" x14ac:dyDescent="0.2">
      <c r="A59" t="s">
        <v>159</v>
      </c>
      <c r="D59" s="10"/>
      <c r="E59" s="10"/>
      <c r="F59" s="10"/>
      <c r="G59" s="10"/>
      <c r="H59" s="42"/>
      <c r="I59" s="42"/>
      <c r="J59" s="42"/>
    </row>
    <row r="60" spans="1:10" x14ac:dyDescent="0.2">
      <c r="A60" t="s">
        <v>537</v>
      </c>
      <c r="B60" t="s">
        <v>161</v>
      </c>
      <c r="D60" s="10">
        <v>0</v>
      </c>
      <c r="E60" s="10">
        <v>0</v>
      </c>
      <c r="F60" s="10">
        <v>0</v>
      </c>
      <c r="G60" s="10">
        <v>0</v>
      </c>
      <c r="H60" s="42">
        <v>64.400000000000006</v>
      </c>
      <c r="I60" s="42">
        <v>84</v>
      </c>
      <c r="J60" s="42">
        <v>0</v>
      </c>
    </row>
    <row r="61" spans="1:10" x14ac:dyDescent="0.2">
      <c r="A61" t="s">
        <v>538</v>
      </c>
      <c r="B61" t="s">
        <v>163</v>
      </c>
      <c r="D61" s="10">
        <v>200</v>
      </c>
      <c r="E61" s="10">
        <v>180</v>
      </c>
      <c r="F61" s="10">
        <v>200</v>
      </c>
      <c r="G61" s="10">
        <v>0</v>
      </c>
      <c r="H61" s="42">
        <v>275.7</v>
      </c>
      <c r="I61" s="42">
        <v>167</v>
      </c>
      <c r="J61" s="42">
        <v>39</v>
      </c>
    </row>
    <row r="62" spans="1:10" x14ac:dyDescent="0.2">
      <c r="A62" t="s">
        <v>539</v>
      </c>
      <c r="B62" t="s">
        <v>164</v>
      </c>
      <c r="D62" s="10">
        <v>0</v>
      </c>
      <c r="E62" s="10">
        <v>0</v>
      </c>
      <c r="F62" s="10">
        <v>0</v>
      </c>
      <c r="G62" s="10">
        <v>0</v>
      </c>
      <c r="H62" s="42">
        <v>110</v>
      </c>
      <c r="I62" s="42">
        <v>115</v>
      </c>
      <c r="J62" s="42">
        <v>66</v>
      </c>
    </row>
    <row r="63" spans="1:10" x14ac:dyDescent="0.2">
      <c r="A63" t="s">
        <v>153</v>
      </c>
      <c r="D63" s="10"/>
      <c r="E63" s="10"/>
      <c r="F63" s="10"/>
      <c r="G63" s="10"/>
      <c r="H63" s="42"/>
      <c r="I63" s="42"/>
      <c r="J63" s="42"/>
    </row>
    <row r="64" spans="1:10" x14ac:dyDescent="0.2">
      <c r="A64" t="s">
        <v>540</v>
      </c>
      <c r="B64" t="s">
        <v>156</v>
      </c>
      <c r="D64" s="10">
        <v>0</v>
      </c>
      <c r="E64" s="10">
        <v>0</v>
      </c>
      <c r="F64" s="10">
        <v>100</v>
      </c>
      <c r="G64" s="10">
        <v>0</v>
      </c>
      <c r="H64" s="42">
        <v>0</v>
      </c>
      <c r="I64" s="42">
        <v>120</v>
      </c>
      <c r="J64" s="42">
        <v>166</v>
      </c>
    </row>
    <row r="65" spans="1:12" x14ac:dyDescent="0.2">
      <c r="A65" t="s">
        <v>146</v>
      </c>
      <c r="D65" s="10"/>
      <c r="E65" s="10"/>
      <c r="F65" s="10"/>
      <c r="G65" s="10"/>
      <c r="H65" s="42"/>
      <c r="I65" s="42"/>
      <c r="J65" s="42"/>
    </row>
    <row r="66" spans="1:12" x14ac:dyDescent="0.2">
      <c r="A66" t="s">
        <v>541</v>
      </c>
      <c r="B66" t="s">
        <v>96</v>
      </c>
      <c r="D66" s="10">
        <v>600</v>
      </c>
      <c r="E66" s="10">
        <v>0</v>
      </c>
      <c r="F66" s="10">
        <v>0</v>
      </c>
      <c r="G66" s="10">
        <v>572.25</v>
      </c>
      <c r="H66" s="41">
        <v>744</v>
      </c>
      <c r="I66" s="41">
        <v>569</v>
      </c>
      <c r="J66" s="41">
        <v>740</v>
      </c>
    </row>
    <row r="67" spans="1:12" x14ac:dyDescent="0.2">
      <c r="A67" t="s">
        <v>542</v>
      </c>
      <c r="B67" t="s">
        <v>149</v>
      </c>
      <c r="D67" s="10">
        <v>1800</v>
      </c>
      <c r="E67" s="10">
        <v>0</v>
      </c>
      <c r="F67" s="10">
        <v>0</v>
      </c>
      <c r="G67" s="10">
        <v>1628</v>
      </c>
      <c r="H67" s="41">
        <v>1624</v>
      </c>
      <c r="I67" s="41">
        <v>1151</v>
      </c>
      <c r="J67" s="41">
        <v>1573</v>
      </c>
    </row>
    <row r="68" spans="1:12" x14ac:dyDescent="0.2">
      <c r="A68" t="s">
        <v>543</v>
      </c>
      <c r="B68" t="s">
        <v>151</v>
      </c>
      <c r="D68" s="10">
        <v>3500</v>
      </c>
      <c r="E68" s="10">
        <v>0</v>
      </c>
      <c r="F68" s="10">
        <v>3294</v>
      </c>
      <c r="G68" s="10">
        <v>3093.86</v>
      </c>
      <c r="H68" s="42">
        <v>3503.51</v>
      </c>
      <c r="I68" s="42">
        <v>3603</v>
      </c>
      <c r="J68" s="42">
        <v>2321</v>
      </c>
    </row>
    <row r="69" spans="1:12" x14ac:dyDescent="0.2">
      <c r="A69" t="s">
        <v>138</v>
      </c>
      <c r="D69" s="10"/>
      <c r="E69" s="10"/>
      <c r="F69" s="10"/>
      <c r="G69" s="10"/>
      <c r="H69" s="42"/>
      <c r="I69" s="42"/>
      <c r="J69" s="42"/>
    </row>
    <row r="70" spans="1:12" x14ac:dyDescent="0.2">
      <c r="A70" t="s">
        <v>544</v>
      </c>
      <c r="B70" t="s">
        <v>139</v>
      </c>
      <c r="D70" s="10">
        <v>10000</v>
      </c>
      <c r="E70" s="10">
        <v>7656.48</v>
      </c>
      <c r="F70" s="10">
        <v>8151</v>
      </c>
      <c r="G70" s="10">
        <v>10023.81</v>
      </c>
      <c r="H70" s="41">
        <v>10129.14</v>
      </c>
      <c r="I70" s="41">
        <v>8433</v>
      </c>
      <c r="J70" s="41">
        <v>8008</v>
      </c>
    </row>
    <row r="71" spans="1:12" x14ac:dyDescent="0.2">
      <c r="A71" t="s">
        <v>545</v>
      </c>
      <c r="B71" t="s">
        <v>140</v>
      </c>
      <c r="D71" s="10">
        <v>300</v>
      </c>
      <c r="E71" s="10">
        <v>186.73</v>
      </c>
      <c r="F71" s="10">
        <v>228</v>
      </c>
      <c r="G71" s="10">
        <v>260.68</v>
      </c>
      <c r="H71" s="41">
        <v>270.69</v>
      </c>
      <c r="I71" s="41">
        <v>210</v>
      </c>
      <c r="J71" s="41">
        <v>297</v>
      </c>
    </row>
    <row r="72" spans="1:12" x14ac:dyDescent="0.2">
      <c r="A72" t="s">
        <v>546</v>
      </c>
      <c r="B72" t="s">
        <v>141</v>
      </c>
      <c r="D72" s="10">
        <v>1600</v>
      </c>
      <c r="E72" s="10">
        <v>753.98</v>
      </c>
      <c r="F72" s="10">
        <v>651</v>
      </c>
      <c r="G72" s="10">
        <v>544.42999999999995</v>
      </c>
      <c r="H72" s="42">
        <v>337.93</v>
      </c>
      <c r="I72" s="42">
        <v>609</v>
      </c>
      <c r="J72" s="42">
        <v>565</v>
      </c>
    </row>
    <row r="73" spans="1:12" x14ac:dyDescent="0.2">
      <c r="A73" t="s">
        <v>547</v>
      </c>
      <c r="B73" t="s">
        <v>142</v>
      </c>
      <c r="D73" s="10">
        <v>1000</v>
      </c>
      <c r="E73" s="10">
        <v>762.86</v>
      </c>
      <c r="F73" s="10">
        <v>991</v>
      </c>
      <c r="G73" s="10">
        <v>992.6</v>
      </c>
      <c r="H73" s="42">
        <v>1220.27</v>
      </c>
      <c r="I73" s="42">
        <v>1374</v>
      </c>
      <c r="J73" s="42">
        <v>963</v>
      </c>
    </row>
    <row r="74" spans="1:12" x14ac:dyDescent="0.2">
      <c r="A74" t="s">
        <v>548</v>
      </c>
      <c r="B74" t="s">
        <v>143</v>
      </c>
      <c r="D74" s="10">
        <v>300</v>
      </c>
      <c r="E74" s="10">
        <v>218.54</v>
      </c>
      <c r="F74" s="10">
        <v>262</v>
      </c>
      <c r="G74" s="10">
        <v>304.20999999999998</v>
      </c>
      <c r="H74" s="41">
        <v>316.60000000000002</v>
      </c>
      <c r="I74" s="41">
        <v>252</v>
      </c>
      <c r="J74" s="41">
        <v>339</v>
      </c>
    </row>
    <row r="75" spans="1:12" x14ac:dyDescent="0.2">
      <c r="A75" s="29" t="s">
        <v>869</v>
      </c>
      <c r="D75" s="10"/>
      <c r="E75" s="10"/>
      <c r="F75" s="10"/>
      <c r="G75" s="10"/>
      <c r="H75" s="41"/>
      <c r="I75" s="41"/>
      <c r="J75" s="41"/>
    </row>
    <row r="76" spans="1:12" x14ac:dyDescent="0.2">
      <c r="A76" s="29" t="s">
        <v>867</v>
      </c>
      <c r="B76" s="29" t="s">
        <v>868</v>
      </c>
      <c r="D76" s="10">
        <v>500</v>
      </c>
      <c r="E76" s="10">
        <v>255</v>
      </c>
      <c r="F76" s="10">
        <v>50</v>
      </c>
      <c r="G76" s="10">
        <v>937.54</v>
      </c>
      <c r="H76" s="41">
        <v>352.3</v>
      </c>
      <c r="I76" s="41">
        <v>0</v>
      </c>
      <c r="J76" s="41">
        <v>0</v>
      </c>
    </row>
    <row r="77" spans="1:12" x14ac:dyDescent="0.2">
      <c r="A77" t="s">
        <v>585</v>
      </c>
      <c r="D77" s="10"/>
      <c r="E77" s="10"/>
      <c r="F77" s="10"/>
      <c r="G77" s="10"/>
      <c r="H77" s="42"/>
      <c r="I77" s="42"/>
      <c r="J77" s="42"/>
    </row>
    <row r="78" spans="1:12" x14ac:dyDescent="0.2">
      <c r="A78" t="s">
        <v>589</v>
      </c>
      <c r="B78" t="s">
        <v>590</v>
      </c>
      <c r="D78" s="10">
        <v>0</v>
      </c>
      <c r="E78" s="10">
        <v>0</v>
      </c>
      <c r="F78" s="10">
        <v>160</v>
      </c>
      <c r="G78" s="10">
        <v>240</v>
      </c>
      <c r="H78" s="42">
        <v>122.27</v>
      </c>
      <c r="I78" s="42">
        <v>0</v>
      </c>
      <c r="J78" s="42">
        <v>0</v>
      </c>
    </row>
    <row r="79" spans="1:12" x14ac:dyDescent="0.2">
      <c r="A79" t="s">
        <v>591</v>
      </c>
      <c r="B79" t="s">
        <v>592</v>
      </c>
      <c r="D79" s="10">
        <v>0</v>
      </c>
      <c r="E79" s="10">
        <v>139</v>
      </c>
      <c r="F79" s="10">
        <v>9180</v>
      </c>
      <c r="G79" s="10">
        <v>0</v>
      </c>
      <c r="H79" s="42">
        <v>736.5</v>
      </c>
      <c r="I79" s="42">
        <f>3870+53+428+2119</f>
        <v>6470</v>
      </c>
      <c r="J79" s="42">
        <v>755</v>
      </c>
      <c r="K79" s="10"/>
      <c r="L79" s="13"/>
    </row>
    <row r="80" spans="1:12" x14ac:dyDescent="0.2">
      <c r="A80" s="29" t="s">
        <v>989</v>
      </c>
      <c r="B80" s="29" t="s">
        <v>754</v>
      </c>
      <c r="D80" s="10">
        <v>0</v>
      </c>
      <c r="E80" s="10">
        <v>0</v>
      </c>
      <c r="F80" s="10">
        <v>0</v>
      </c>
      <c r="G80" s="10">
        <v>3519.19</v>
      </c>
      <c r="H80" s="42">
        <v>0</v>
      </c>
      <c r="I80" s="42">
        <v>0</v>
      </c>
      <c r="J80" s="42">
        <v>0</v>
      </c>
      <c r="K80" s="10"/>
      <c r="L80" s="13"/>
    </row>
    <row r="81" spans="1:11" x14ac:dyDescent="0.2">
      <c r="A81" t="s">
        <v>132</v>
      </c>
      <c r="D81" s="10"/>
      <c r="E81" s="10"/>
      <c r="F81" s="10"/>
      <c r="G81" s="10"/>
      <c r="H81" s="42"/>
      <c r="I81" s="42"/>
      <c r="J81" s="42"/>
    </row>
    <row r="82" spans="1:11" x14ac:dyDescent="0.2">
      <c r="A82" t="s">
        <v>549</v>
      </c>
      <c r="B82" t="s">
        <v>133</v>
      </c>
      <c r="D82" s="10">
        <v>0</v>
      </c>
      <c r="E82" s="10">
        <v>0</v>
      </c>
      <c r="F82" s="10">
        <v>0</v>
      </c>
      <c r="G82" s="10">
        <v>4143.9799999999996</v>
      </c>
      <c r="H82" s="42">
        <v>5797.85</v>
      </c>
      <c r="I82" s="42">
        <f>3646+387</f>
        <v>4033</v>
      </c>
      <c r="J82" s="42">
        <v>401</v>
      </c>
    </row>
    <row r="83" spans="1:11" x14ac:dyDescent="0.2">
      <c r="A83" s="29" t="s">
        <v>866</v>
      </c>
      <c r="B83" s="29" t="s">
        <v>592</v>
      </c>
      <c r="D83" s="10">
        <v>0</v>
      </c>
      <c r="E83" s="10">
        <v>490.6</v>
      </c>
      <c r="F83" s="10">
        <v>0</v>
      </c>
      <c r="G83" s="10">
        <v>0</v>
      </c>
      <c r="H83" s="42">
        <v>328.88</v>
      </c>
      <c r="I83" s="42">
        <v>0</v>
      </c>
      <c r="J83" s="42">
        <v>0</v>
      </c>
    </row>
    <row r="84" spans="1:11" x14ac:dyDescent="0.2">
      <c r="A84" s="29" t="s">
        <v>870</v>
      </c>
      <c r="B84" s="29" t="s">
        <v>129</v>
      </c>
      <c r="D84" s="10">
        <v>3000</v>
      </c>
      <c r="E84" s="10">
        <v>877.2</v>
      </c>
      <c r="F84" s="10">
        <v>2500</v>
      </c>
      <c r="G84" s="10">
        <v>0</v>
      </c>
      <c r="H84" s="42">
        <v>79.13</v>
      </c>
      <c r="I84" s="42">
        <v>0</v>
      </c>
      <c r="J84" s="42">
        <v>0</v>
      </c>
    </row>
    <row r="85" spans="1:11" x14ac:dyDescent="0.2">
      <c r="A85" t="s">
        <v>550</v>
      </c>
      <c r="B85" t="s">
        <v>104</v>
      </c>
      <c r="D85" s="10">
        <v>4000</v>
      </c>
      <c r="E85" s="10">
        <v>3295.7</v>
      </c>
      <c r="F85" s="10">
        <v>3139</v>
      </c>
      <c r="G85" s="10">
        <v>3982.88</v>
      </c>
      <c r="H85" s="42">
        <v>3368.21</v>
      </c>
      <c r="I85" s="42">
        <v>2980</v>
      </c>
      <c r="J85" s="42">
        <v>5006</v>
      </c>
    </row>
    <row r="86" spans="1:11" x14ac:dyDescent="0.2">
      <c r="A86" t="s">
        <v>551</v>
      </c>
      <c r="B86" t="s">
        <v>102</v>
      </c>
      <c r="D86" s="10">
        <v>0</v>
      </c>
      <c r="E86" s="10">
        <v>0</v>
      </c>
      <c r="F86" s="10">
        <v>0</v>
      </c>
      <c r="G86" s="10">
        <v>0</v>
      </c>
      <c r="H86" s="42">
        <v>120</v>
      </c>
      <c r="I86" s="42">
        <v>0</v>
      </c>
      <c r="J86" s="42">
        <v>240</v>
      </c>
    </row>
    <row r="87" spans="1:11" x14ac:dyDescent="0.2">
      <c r="A87" t="s">
        <v>552</v>
      </c>
      <c r="B87" t="s">
        <v>121</v>
      </c>
      <c r="D87" s="10">
        <v>0</v>
      </c>
      <c r="E87" s="10">
        <v>100</v>
      </c>
      <c r="F87" s="10">
        <v>0</v>
      </c>
      <c r="G87" s="10">
        <v>822.9</v>
      </c>
      <c r="H87" s="42">
        <v>745.27</v>
      </c>
      <c r="I87" s="42">
        <v>321</v>
      </c>
      <c r="J87" s="42">
        <v>638</v>
      </c>
    </row>
    <row r="88" spans="1:11" x14ac:dyDescent="0.2">
      <c r="D88" s="10"/>
      <c r="E88" s="10"/>
      <c r="F88" s="10"/>
      <c r="G88" s="10"/>
      <c r="H88" s="42"/>
      <c r="I88" s="42"/>
      <c r="J88" s="42"/>
      <c r="K88" s="29"/>
    </row>
    <row r="89" spans="1:11" x14ac:dyDescent="0.2">
      <c r="B89" s="26" t="s">
        <v>65</v>
      </c>
      <c r="D89" s="10">
        <f>SUM(D16:D88)</f>
        <v>382359.57500000001</v>
      </c>
      <c r="E89" s="10">
        <f>SUM(E16:E87)</f>
        <v>318478.81999999983</v>
      </c>
      <c r="F89" s="10">
        <f>SUM(F16:F87)</f>
        <v>367375.04000000004</v>
      </c>
      <c r="G89" s="10">
        <f>SUM(G16:G87)</f>
        <v>366783.40999999992</v>
      </c>
      <c r="H89" s="41">
        <f t="shared" ref="H89:J89" si="0">SUM(H16:H87)</f>
        <v>358497.76000000018</v>
      </c>
      <c r="I89" s="41">
        <f t="shared" si="0"/>
        <v>354657</v>
      </c>
      <c r="J89" s="41">
        <f t="shared" si="0"/>
        <v>346376</v>
      </c>
    </row>
    <row r="90" spans="1:11" x14ac:dyDescent="0.2">
      <c r="A90" s="13"/>
      <c r="G90" s="29" t="s">
        <v>991</v>
      </c>
    </row>
  </sheetData>
  <phoneticPr fontId="2" type="noConversion"/>
  <pageMargins left="0.25" right="0.25" top="0.75" bottom="0.75" header="0.3" footer="0.3"/>
  <pageSetup orientation="landscape" r:id="rId1"/>
  <headerFooter alignWithMargins="0"/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G15" sqref="G15"/>
    </sheetView>
  </sheetViews>
  <sheetFormatPr defaultRowHeight="12.75" x14ac:dyDescent="0.2"/>
  <cols>
    <col min="4" max="4" width="10.140625" customWidth="1"/>
    <col min="5" max="5" width="14.28515625" bestFit="1" customWidth="1"/>
    <col min="6" max="6" width="13.140625" customWidth="1"/>
  </cols>
  <sheetData>
    <row r="1" spans="1:7" ht="15.75" x14ac:dyDescent="0.25">
      <c r="A1" s="14" t="s">
        <v>932</v>
      </c>
      <c r="B1" s="52"/>
      <c r="C1" s="52"/>
      <c r="D1" s="52"/>
      <c r="E1" s="52"/>
      <c r="F1" s="52"/>
      <c r="G1" s="52"/>
    </row>
    <row r="2" spans="1:7" ht="15" x14ac:dyDescent="0.2">
      <c r="A2" s="52"/>
      <c r="B2" s="52"/>
      <c r="C2" s="52"/>
      <c r="D2" s="52"/>
      <c r="E2" s="52"/>
      <c r="F2" s="52"/>
      <c r="G2" s="52"/>
    </row>
    <row r="3" spans="1:7" ht="15" x14ac:dyDescent="0.2">
      <c r="A3" s="52" t="s">
        <v>933</v>
      </c>
      <c r="B3" s="52"/>
      <c r="C3" s="52"/>
      <c r="D3" s="52">
        <v>314</v>
      </c>
      <c r="E3" s="78">
        <f>'GO 2005A'!D11</f>
        <v>14501</v>
      </c>
      <c r="F3" s="52" t="s">
        <v>934</v>
      </c>
      <c r="G3" s="52"/>
    </row>
    <row r="4" spans="1:7" ht="15" x14ac:dyDescent="0.2">
      <c r="A4" s="52"/>
      <c r="B4" s="52"/>
      <c r="C4" s="52"/>
      <c r="D4" s="52">
        <v>317</v>
      </c>
      <c r="E4" s="78">
        <f>'TIF GO 2007A'!D12</f>
        <v>38776</v>
      </c>
      <c r="F4" s="52" t="s">
        <v>934</v>
      </c>
      <c r="G4" s="52"/>
    </row>
    <row r="5" spans="1:7" ht="15" x14ac:dyDescent="0.2">
      <c r="A5" s="52"/>
      <c r="B5" s="52"/>
      <c r="C5" s="52"/>
      <c r="D5" s="52">
        <v>315</v>
      </c>
      <c r="E5" s="78">
        <f>'Pool Bonds 2012'!D12</f>
        <v>126529</v>
      </c>
      <c r="F5" s="52" t="s">
        <v>1031</v>
      </c>
      <c r="G5" s="52"/>
    </row>
    <row r="6" spans="1:7" ht="15" x14ac:dyDescent="0.2">
      <c r="A6" s="52"/>
      <c r="B6" s="52"/>
      <c r="C6" s="52"/>
      <c r="D6" s="52">
        <v>354</v>
      </c>
      <c r="E6" s="79">
        <f>'Hwy 44 Bond 2013'!C12</f>
        <v>50572.5</v>
      </c>
      <c r="F6" s="52"/>
      <c r="G6" s="52"/>
    </row>
    <row r="7" spans="1:7" ht="15" x14ac:dyDescent="0.2">
      <c r="A7" s="52"/>
      <c r="B7" s="52"/>
      <c r="C7" s="52"/>
      <c r="D7" s="52"/>
      <c r="E7" s="78"/>
      <c r="F7" s="52"/>
    </row>
    <row r="8" spans="1:7" ht="15" x14ac:dyDescent="0.2">
      <c r="A8" s="52"/>
      <c r="B8" s="52"/>
      <c r="C8" s="52"/>
      <c r="D8" s="52"/>
      <c r="E8" s="78">
        <f>SUM(E3:E6)</f>
        <v>230378.5</v>
      </c>
      <c r="F8" s="52" t="s">
        <v>65</v>
      </c>
      <c r="G8" s="52"/>
    </row>
    <row r="9" spans="1:7" ht="15" x14ac:dyDescent="0.2">
      <c r="A9" s="52"/>
      <c r="B9" s="52"/>
      <c r="C9" s="52"/>
      <c r="D9" s="52"/>
      <c r="E9" s="78"/>
      <c r="F9" s="52"/>
      <c r="G9" s="52"/>
    </row>
    <row r="10" spans="1:7" ht="15" x14ac:dyDescent="0.2">
      <c r="A10" s="52"/>
      <c r="B10" s="52"/>
      <c r="C10" s="52"/>
      <c r="D10" s="52"/>
      <c r="E10" s="78"/>
      <c r="F10" s="52"/>
      <c r="G10" s="52"/>
    </row>
    <row r="11" spans="1:7" ht="15" x14ac:dyDescent="0.2">
      <c r="A11" s="52" t="s">
        <v>1032</v>
      </c>
      <c r="B11" s="52"/>
      <c r="C11" s="52"/>
      <c r="D11" s="52"/>
      <c r="E11" s="131">
        <v>150573</v>
      </c>
      <c r="F11" s="133"/>
      <c r="G11" s="52"/>
    </row>
    <row r="12" spans="1:7" ht="15" x14ac:dyDescent="0.2">
      <c r="A12" s="52"/>
      <c r="B12" s="52"/>
      <c r="C12" s="52"/>
      <c r="D12" s="52"/>
      <c r="E12" s="78"/>
      <c r="F12" s="52"/>
      <c r="G12" s="52"/>
    </row>
    <row r="13" spans="1:7" ht="15" x14ac:dyDescent="0.2">
      <c r="A13" s="52" t="s">
        <v>935</v>
      </c>
      <c r="B13" s="52"/>
      <c r="C13" s="52"/>
      <c r="D13" s="52"/>
      <c r="E13" s="52"/>
      <c r="F13" s="52"/>
      <c r="G13" s="52"/>
    </row>
    <row r="14" spans="1:7" ht="15" x14ac:dyDescent="0.2">
      <c r="A14" s="52"/>
      <c r="B14" s="52"/>
      <c r="C14" s="52"/>
      <c r="D14" s="52"/>
      <c r="E14" s="52"/>
      <c r="F14" s="52"/>
      <c r="G14" s="52"/>
    </row>
    <row r="15" spans="1:7" ht="15" x14ac:dyDescent="0.2">
      <c r="A15" s="52"/>
      <c r="B15" s="52"/>
      <c r="C15" s="52"/>
      <c r="D15" s="52"/>
      <c r="E15" s="52"/>
      <c r="F15" s="52"/>
      <c r="G15" s="52"/>
    </row>
    <row r="16" spans="1:7" ht="15" x14ac:dyDescent="0.2">
      <c r="A16" s="52"/>
      <c r="B16" s="52"/>
      <c r="C16" s="52"/>
      <c r="D16" s="52"/>
      <c r="E16" s="52"/>
      <c r="F16" s="52"/>
      <c r="G16" s="52"/>
    </row>
    <row r="17" spans="1:7" ht="15" x14ac:dyDescent="0.2">
      <c r="A17" s="52"/>
      <c r="B17" s="52"/>
      <c r="C17" s="52"/>
      <c r="D17" s="52"/>
      <c r="E17" s="52"/>
      <c r="F17" s="52"/>
      <c r="G17" s="52"/>
    </row>
    <row r="18" spans="1:7" ht="15" x14ac:dyDescent="0.2">
      <c r="A18" s="52"/>
      <c r="B18" s="52"/>
      <c r="C18" s="52"/>
      <c r="D18" s="52"/>
      <c r="E18" s="52"/>
      <c r="F18" s="52"/>
      <c r="G18" s="52"/>
    </row>
    <row r="19" spans="1:7" ht="15" x14ac:dyDescent="0.2">
      <c r="A19" s="52"/>
      <c r="B19" s="52"/>
      <c r="C19" s="52"/>
      <c r="D19" s="52"/>
      <c r="E19" s="52"/>
      <c r="F19" s="52"/>
      <c r="G19" s="52"/>
    </row>
    <row r="20" spans="1:7" ht="15" x14ac:dyDescent="0.2">
      <c r="A20" s="52"/>
      <c r="B20" s="52"/>
      <c r="C20" s="52"/>
      <c r="D20" s="52"/>
      <c r="E20" s="52"/>
      <c r="F20" s="52"/>
      <c r="G20" s="52"/>
    </row>
  </sheetData>
  <pageMargins left="0.7" right="0.7" top="0.75" bottom="0.75" header="0.3" footer="0.3"/>
  <pageSetup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9"/>
  <sheetViews>
    <sheetView topLeftCell="B1" workbookViewId="0">
      <selection activeCell="E3" sqref="E3"/>
    </sheetView>
  </sheetViews>
  <sheetFormatPr defaultRowHeight="12.75" x14ac:dyDescent="0.2"/>
  <cols>
    <col min="1" max="1" width="18.42578125" customWidth="1"/>
    <col min="2" max="2" width="27.42578125" customWidth="1"/>
    <col min="3" max="3" width="5.7109375" customWidth="1"/>
    <col min="4" max="7" width="11.7109375" customWidth="1"/>
    <col min="8" max="10" width="10.7109375" customWidth="1"/>
  </cols>
  <sheetData>
    <row r="1" spans="1:10" ht="15.75" x14ac:dyDescent="0.25">
      <c r="B1" s="14" t="s">
        <v>771</v>
      </c>
      <c r="D1" s="1">
        <v>2015</v>
      </c>
      <c r="E1" s="51">
        <v>2014</v>
      </c>
      <c r="F1" s="51">
        <v>2014</v>
      </c>
      <c r="G1" s="51">
        <v>2013</v>
      </c>
      <c r="H1" s="51">
        <v>2012</v>
      </c>
      <c r="I1" s="51">
        <v>2011</v>
      </c>
      <c r="J1" s="17">
        <v>2010</v>
      </c>
    </row>
    <row r="2" spans="1:10" x14ac:dyDescent="0.2">
      <c r="B2" s="29" t="s">
        <v>888</v>
      </c>
      <c r="D2" s="1" t="s">
        <v>596</v>
      </c>
      <c r="E2" s="51" t="s">
        <v>1076</v>
      </c>
      <c r="F2" s="51" t="s">
        <v>596</v>
      </c>
      <c r="G2" s="51" t="s">
        <v>597</v>
      </c>
      <c r="H2" s="51" t="s">
        <v>597</v>
      </c>
      <c r="I2" s="51" t="s">
        <v>597</v>
      </c>
      <c r="J2" s="51" t="s">
        <v>597</v>
      </c>
    </row>
    <row r="4" spans="1:10" x14ac:dyDescent="0.2">
      <c r="A4" t="s">
        <v>579</v>
      </c>
    </row>
    <row r="5" spans="1:10" x14ac:dyDescent="0.2">
      <c r="A5" t="s">
        <v>89</v>
      </c>
    </row>
    <row r="7" spans="1:10" x14ac:dyDescent="0.2">
      <c r="B7" t="s">
        <v>225</v>
      </c>
      <c r="D7" s="10">
        <v>10000</v>
      </c>
      <c r="E7" s="10">
        <v>10000</v>
      </c>
      <c r="F7" s="10">
        <v>10000</v>
      </c>
      <c r="G7" s="10">
        <v>10000</v>
      </c>
      <c r="H7" s="10">
        <v>10000</v>
      </c>
      <c r="I7" s="10">
        <v>10000</v>
      </c>
      <c r="J7" s="10">
        <v>5000</v>
      </c>
    </row>
    <row r="8" spans="1:10" x14ac:dyDescent="0.2">
      <c r="B8" t="s">
        <v>226</v>
      </c>
      <c r="D8" s="10">
        <f>2138+2363</f>
        <v>4501</v>
      </c>
      <c r="E8" s="10">
        <v>2587.5</v>
      </c>
      <c r="F8" s="10">
        <v>4951</v>
      </c>
      <c r="G8" s="10">
        <v>5400</v>
      </c>
      <c r="H8" s="41">
        <v>5850</v>
      </c>
      <c r="I8" s="41">
        <v>6300</v>
      </c>
      <c r="J8" s="41">
        <v>6638</v>
      </c>
    </row>
    <row r="9" spans="1:10" x14ac:dyDescent="0.2">
      <c r="B9" t="s">
        <v>228</v>
      </c>
      <c r="D9" s="10">
        <v>0</v>
      </c>
      <c r="E9" s="10">
        <v>0</v>
      </c>
      <c r="F9" s="10">
        <v>0</v>
      </c>
      <c r="G9" s="10">
        <v>0</v>
      </c>
      <c r="H9" s="42">
        <v>0</v>
      </c>
      <c r="I9" s="42">
        <v>0</v>
      </c>
      <c r="J9" s="42">
        <v>125</v>
      </c>
    </row>
    <row r="10" spans="1:10" x14ac:dyDescent="0.2">
      <c r="D10" s="10"/>
      <c r="E10" s="10"/>
      <c r="F10" s="10"/>
      <c r="G10" s="10"/>
      <c r="H10" s="42"/>
      <c r="I10" s="42"/>
      <c r="J10" s="42"/>
    </row>
    <row r="11" spans="1:10" x14ac:dyDescent="0.2">
      <c r="B11" s="26" t="s">
        <v>65</v>
      </c>
      <c r="D11" s="10">
        <f>SUM(D7:D10)</f>
        <v>14501</v>
      </c>
      <c r="E11" s="10">
        <f>SUM(E7:E9)</f>
        <v>12587.5</v>
      </c>
      <c r="F11" s="10">
        <f>SUM(F7:F9)</f>
        <v>14951</v>
      </c>
      <c r="G11" s="10">
        <f>SUM(G7:G10)</f>
        <v>15400</v>
      </c>
      <c r="H11" s="42">
        <f>SUM(H7:H10)</f>
        <v>15850</v>
      </c>
      <c r="I11" s="42">
        <f>SUM(I7:I10)</f>
        <v>16300</v>
      </c>
      <c r="J11" s="42">
        <f>SUM(J7:J10)</f>
        <v>11763</v>
      </c>
    </row>
    <row r="12" spans="1:10" x14ac:dyDescent="0.2">
      <c r="D12" s="10"/>
      <c r="E12" s="10"/>
      <c r="F12" s="10"/>
      <c r="G12" s="10"/>
      <c r="H12" s="42"/>
      <c r="I12" s="42"/>
      <c r="J12" s="42"/>
    </row>
    <row r="13" spans="1:10" x14ac:dyDescent="0.2">
      <c r="A13" t="s">
        <v>88</v>
      </c>
      <c r="D13" s="10"/>
      <c r="E13" s="10"/>
      <c r="F13" s="10"/>
      <c r="G13" s="10"/>
      <c r="H13" s="42"/>
      <c r="I13" s="42"/>
      <c r="J13" s="42"/>
    </row>
    <row r="14" spans="1:10" x14ac:dyDescent="0.2">
      <c r="B14" t="s">
        <v>229</v>
      </c>
      <c r="D14" s="10">
        <v>0</v>
      </c>
      <c r="E14" s="10">
        <v>0</v>
      </c>
      <c r="F14" s="10">
        <v>0</v>
      </c>
      <c r="G14" s="73"/>
      <c r="H14" s="58"/>
      <c r="I14" s="68"/>
      <c r="J14" s="48"/>
    </row>
    <row r="15" spans="1:10" x14ac:dyDescent="0.2">
      <c r="B15" t="s">
        <v>230</v>
      </c>
      <c r="D15" s="10">
        <v>15000</v>
      </c>
      <c r="E15" s="10">
        <v>8088</v>
      </c>
      <c r="F15" s="10">
        <v>14951</v>
      </c>
      <c r="G15" s="10">
        <v>16933.02</v>
      </c>
      <c r="H15" s="41">
        <v>15040.96</v>
      </c>
      <c r="I15" s="41">
        <v>7894</v>
      </c>
      <c r="J15" s="41">
        <v>2630</v>
      </c>
    </row>
    <row r="16" spans="1:10" x14ac:dyDescent="0.2">
      <c r="B16" s="13" t="s">
        <v>47</v>
      </c>
      <c r="D16" s="10">
        <v>0</v>
      </c>
      <c r="E16" s="10">
        <v>0</v>
      </c>
      <c r="F16" s="10">
        <v>0</v>
      </c>
      <c r="G16" s="10">
        <v>0</v>
      </c>
      <c r="H16" s="42">
        <v>94.19</v>
      </c>
      <c r="I16" s="42">
        <f>496+7402</f>
        <v>7898</v>
      </c>
      <c r="J16" s="42">
        <v>5532</v>
      </c>
    </row>
    <row r="17" spans="1:12" x14ac:dyDescent="0.2">
      <c r="D17" s="10"/>
      <c r="E17" s="10"/>
      <c r="F17" s="10"/>
      <c r="G17" s="10"/>
      <c r="H17" s="42"/>
      <c r="I17" s="42"/>
      <c r="J17" s="42"/>
    </row>
    <row r="18" spans="1:12" x14ac:dyDescent="0.2">
      <c r="B18" s="26" t="s">
        <v>65</v>
      </c>
      <c r="D18" s="10">
        <f>SUM(D14:D17)</f>
        <v>15000</v>
      </c>
      <c r="E18" s="10">
        <f>SUM(E14:E16)</f>
        <v>8088</v>
      </c>
      <c r="F18" s="10">
        <f>SUM(F14:F16)</f>
        <v>14951</v>
      </c>
      <c r="G18" s="10">
        <f>SUM(G14:G16)</f>
        <v>16933.02</v>
      </c>
      <c r="H18" s="42">
        <f>SUM(H14:H17)</f>
        <v>15135.15</v>
      </c>
      <c r="I18" s="42">
        <f>SUM(I14:I17)</f>
        <v>15792</v>
      </c>
      <c r="J18" s="42">
        <f>SUM(J14:J17)</f>
        <v>8162</v>
      </c>
    </row>
    <row r="19" spans="1:12" x14ac:dyDescent="0.2">
      <c r="D19" s="10"/>
    </row>
    <row r="20" spans="1:12" x14ac:dyDescent="0.2">
      <c r="A20" s="13"/>
    </row>
    <row r="21" spans="1:12" x14ac:dyDescent="0.2">
      <c r="B21" s="29" t="s">
        <v>890</v>
      </c>
    </row>
    <row r="22" spans="1:12" x14ac:dyDescent="0.2">
      <c r="B22" s="29" t="s">
        <v>891</v>
      </c>
    </row>
    <row r="23" spans="1:12" x14ac:dyDescent="0.2">
      <c r="B23" s="29" t="s">
        <v>892</v>
      </c>
      <c r="I23" s="61"/>
    </row>
    <row r="24" spans="1:12" x14ac:dyDescent="0.2">
      <c r="B24" s="29" t="s">
        <v>893</v>
      </c>
      <c r="H24" s="13"/>
      <c r="I24" s="13"/>
    </row>
    <row r="25" spans="1:12" x14ac:dyDescent="0.2">
      <c r="H25" s="13"/>
      <c r="I25" s="13"/>
    </row>
    <row r="26" spans="1:12" x14ac:dyDescent="0.2">
      <c r="H26" s="25"/>
      <c r="I26" s="25"/>
    </row>
    <row r="29" spans="1:12" x14ac:dyDescent="0.2">
      <c r="L29" s="29"/>
    </row>
  </sheetData>
  <phoneticPr fontId="2" type="noConversion"/>
  <pageMargins left="0.25" right="0.25" top="0.75" bottom="0.75" header="0.3" footer="0.3"/>
  <pageSetup orientation="landscape" r:id="rId1"/>
  <headerFooter alignWithMargins="0"/>
  <legacy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1"/>
  <sheetViews>
    <sheetView workbookViewId="0">
      <selection activeCell="E18" sqref="E18"/>
    </sheetView>
  </sheetViews>
  <sheetFormatPr defaultRowHeight="12.75" x14ac:dyDescent="0.2"/>
  <cols>
    <col min="1" max="1" width="18.140625" customWidth="1"/>
    <col min="2" max="2" width="28.5703125" customWidth="1"/>
    <col min="3" max="3" width="5.7109375" customWidth="1"/>
    <col min="4" max="4" width="11.7109375" customWidth="1"/>
    <col min="5" max="5" width="11.5703125" customWidth="1"/>
    <col min="6" max="9" width="11.7109375" customWidth="1"/>
    <col min="10" max="10" width="10.7109375" customWidth="1"/>
  </cols>
  <sheetData>
    <row r="1" spans="1:10" ht="15.75" x14ac:dyDescent="0.25">
      <c r="B1" s="14" t="s">
        <v>772</v>
      </c>
      <c r="D1" s="1">
        <v>2015</v>
      </c>
      <c r="E1" s="51">
        <v>2014</v>
      </c>
      <c r="F1" s="51">
        <v>2014</v>
      </c>
      <c r="G1" s="51">
        <v>2013</v>
      </c>
      <c r="H1" s="51">
        <v>2012</v>
      </c>
      <c r="I1" s="51">
        <v>2011</v>
      </c>
      <c r="J1" s="17">
        <v>2010</v>
      </c>
    </row>
    <row r="2" spans="1:10" x14ac:dyDescent="0.2">
      <c r="B2" s="29" t="s">
        <v>898</v>
      </c>
      <c r="D2" s="1" t="s">
        <v>596</v>
      </c>
      <c r="E2" s="51" t="s">
        <v>1076</v>
      </c>
      <c r="F2" s="51" t="s">
        <v>596</v>
      </c>
      <c r="G2" s="51" t="s">
        <v>597</v>
      </c>
      <c r="H2" s="51" t="s">
        <v>597</v>
      </c>
      <c r="I2" s="51" t="s">
        <v>597</v>
      </c>
      <c r="J2" s="51" t="s">
        <v>597</v>
      </c>
    </row>
    <row r="4" spans="1:10" x14ac:dyDescent="0.2">
      <c r="A4" t="s">
        <v>579</v>
      </c>
    </row>
    <row r="5" spans="1:10" x14ac:dyDescent="0.2">
      <c r="A5" t="s">
        <v>89</v>
      </c>
    </row>
    <row r="6" spans="1:10" x14ac:dyDescent="0.2">
      <c r="F6" s="10"/>
      <c r="G6" s="10"/>
    </row>
    <row r="7" spans="1:10" x14ac:dyDescent="0.2">
      <c r="A7" s="29"/>
      <c r="B7" t="s">
        <v>225</v>
      </c>
      <c r="D7" s="10">
        <v>25000</v>
      </c>
      <c r="E7" s="10">
        <v>25000</v>
      </c>
      <c r="F7" s="10">
        <v>25000</v>
      </c>
      <c r="G7" s="10">
        <v>20000</v>
      </c>
      <c r="H7" s="10">
        <v>20000</v>
      </c>
      <c r="I7" s="10">
        <v>15000</v>
      </c>
      <c r="J7" s="10">
        <v>15000</v>
      </c>
    </row>
    <row r="8" spans="1:10" x14ac:dyDescent="0.2">
      <c r="A8" s="29"/>
      <c r="B8" t="s">
        <v>226</v>
      </c>
      <c r="D8" s="10">
        <f>6338+6838</f>
        <v>13176</v>
      </c>
      <c r="E8" s="10">
        <v>14175</v>
      </c>
      <c r="F8" s="10">
        <v>14176</v>
      </c>
      <c r="G8" s="10">
        <v>15055</v>
      </c>
      <c r="H8" s="10">
        <v>15815</v>
      </c>
      <c r="I8" s="10">
        <v>16480</v>
      </c>
      <c r="J8" s="10">
        <v>17050</v>
      </c>
    </row>
    <row r="9" spans="1:10" x14ac:dyDescent="0.2">
      <c r="B9" t="s">
        <v>227</v>
      </c>
      <c r="D9" s="10">
        <v>600</v>
      </c>
      <c r="E9" s="10">
        <v>0</v>
      </c>
      <c r="F9" s="10">
        <v>450</v>
      </c>
      <c r="G9" s="10">
        <v>569.75</v>
      </c>
      <c r="H9" s="10">
        <v>0</v>
      </c>
      <c r="I9" s="10">
        <v>0</v>
      </c>
      <c r="J9" s="10">
        <v>431</v>
      </c>
    </row>
    <row r="10" spans="1:10" x14ac:dyDescent="0.2">
      <c r="B10" t="s">
        <v>228</v>
      </c>
      <c r="D10" s="10">
        <v>0</v>
      </c>
      <c r="E10" s="10">
        <v>587.15</v>
      </c>
      <c r="F10" s="10">
        <v>200</v>
      </c>
      <c r="G10" s="10">
        <v>0</v>
      </c>
      <c r="H10" s="10">
        <v>569.75</v>
      </c>
      <c r="I10" s="10">
        <v>570</v>
      </c>
      <c r="J10" s="10">
        <v>125</v>
      </c>
    </row>
    <row r="11" spans="1:10" x14ac:dyDescent="0.2">
      <c r="D11" s="10"/>
      <c r="E11" s="10"/>
      <c r="F11" s="10"/>
      <c r="G11" s="10"/>
      <c r="H11" s="42"/>
      <c r="I11" s="42"/>
      <c r="J11" s="42"/>
    </row>
    <row r="12" spans="1:10" x14ac:dyDescent="0.2">
      <c r="B12" s="26" t="s">
        <v>65</v>
      </c>
      <c r="D12" s="10">
        <f>SUM(D7:D11)</f>
        <v>38776</v>
      </c>
      <c r="E12" s="10">
        <f>SUM(E7:E10)</f>
        <v>39762.15</v>
      </c>
      <c r="F12" s="10">
        <f>SUM(F7:F10)</f>
        <v>39826</v>
      </c>
      <c r="G12" s="10">
        <f>SUM(G7:G10)</f>
        <v>35624.75</v>
      </c>
      <c r="H12" s="42">
        <f>SUM(H7:H11)</f>
        <v>36384.75</v>
      </c>
      <c r="I12" s="42">
        <f>SUM(I7:I11)</f>
        <v>32050</v>
      </c>
      <c r="J12" s="42">
        <f>SUM(J7:J11)</f>
        <v>32606</v>
      </c>
    </row>
    <row r="13" spans="1:10" x14ac:dyDescent="0.2">
      <c r="D13" s="10"/>
      <c r="E13" s="10"/>
      <c r="F13" s="10"/>
      <c r="G13" s="10"/>
      <c r="H13" s="10"/>
      <c r="I13" s="10"/>
      <c r="J13" s="42"/>
    </row>
    <row r="14" spans="1:10" x14ac:dyDescent="0.2">
      <c r="A14" t="s">
        <v>88</v>
      </c>
      <c r="D14" s="10"/>
      <c r="E14" s="10"/>
      <c r="F14" s="10"/>
      <c r="G14" s="10"/>
      <c r="H14" s="21"/>
      <c r="I14" s="21"/>
      <c r="J14" s="42"/>
    </row>
    <row r="15" spans="1:10" x14ac:dyDescent="0.2">
      <c r="B15" t="s">
        <v>229</v>
      </c>
      <c r="D15" s="10">
        <v>0</v>
      </c>
      <c r="E15" s="10">
        <v>0</v>
      </c>
      <c r="F15" s="10">
        <v>0</v>
      </c>
      <c r="G15" s="10">
        <v>0</v>
      </c>
      <c r="H15" s="19">
        <v>0</v>
      </c>
      <c r="I15" s="57">
        <v>7083</v>
      </c>
      <c r="J15" s="42">
        <v>0</v>
      </c>
    </row>
    <row r="16" spans="1:10" x14ac:dyDescent="0.2">
      <c r="B16" t="s">
        <v>789</v>
      </c>
      <c r="D16" s="10">
        <v>4706</v>
      </c>
      <c r="E16" s="10">
        <v>9327.19</v>
      </c>
      <c r="F16" s="10">
        <v>29826</v>
      </c>
      <c r="G16" s="10">
        <v>0</v>
      </c>
      <c r="H16" s="57">
        <v>0</v>
      </c>
      <c r="I16" s="49">
        <v>5753</v>
      </c>
      <c r="J16" s="49">
        <v>0</v>
      </c>
    </row>
    <row r="17" spans="1:11" x14ac:dyDescent="0.2">
      <c r="B17" t="s">
        <v>230</v>
      </c>
      <c r="D17" s="10">
        <v>0</v>
      </c>
      <c r="E17" s="10">
        <v>0</v>
      </c>
      <c r="F17" s="10">
        <v>0</v>
      </c>
      <c r="G17" s="10">
        <v>0</v>
      </c>
      <c r="H17" s="42">
        <v>0</v>
      </c>
      <c r="I17" s="42">
        <v>0</v>
      </c>
      <c r="J17" s="42">
        <v>0</v>
      </c>
    </row>
    <row r="18" spans="1:11" x14ac:dyDescent="0.2">
      <c r="B18" s="29" t="s">
        <v>773</v>
      </c>
      <c r="D18" s="10">
        <v>0</v>
      </c>
      <c r="E18" s="10">
        <v>132.38999999999999</v>
      </c>
      <c r="F18" s="10">
        <v>0</v>
      </c>
      <c r="G18" s="10">
        <v>88.08</v>
      </c>
      <c r="H18" s="42">
        <v>7778.65</v>
      </c>
      <c r="I18" s="42">
        <v>0</v>
      </c>
      <c r="J18" s="42">
        <v>577</v>
      </c>
    </row>
    <row r="19" spans="1:11" x14ac:dyDescent="0.2">
      <c r="B19" t="s">
        <v>231</v>
      </c>
      <c r="D19" s="10">
        <v>0</v>
      </c>
      <c r="E19" s="10">
        <v>0</v>
      </c>
      <c r="F19" s="10">
        <v>0</v>
      </c>
      <c r="G19" s="10">
        <v>0</v>
      </c>
      <c r="H19" s="42">
        <v>19214.3</v>
      </c>
      <c r="I19" s="42">
        <v>19214</v>
      </c>
      <c r="J19" s="42">
        <v>36941</v>
      </c>
    </row>
    <row r="20" spans="1:11" x14ac:dyDescent="0.2">
      <c r="B20" s="29" t="s">
        <v>897</v>
      </c>
      <c r="D20" s="10">
        <v>10500</v>
      </c>
      <c r="E20" s="10">
        <v>10683.12</v>
      </c>
      <c r="F20" s="10">
        <v>10000</v>
      </c>
      <c r="G20" s="10">
        <v>30955.14</v>
      </c>
      <c r="H20" s="42">
        <v>0</v>
      </c>
      <c r="I20" s="42">
        <v>0</v>
      </c>
      <c r="J20" s="42">
        <v>0</v>
      </c>
    </row>
    <row r="21" spans="1:11" x14ac:dyDescent="0.2">
      <c r="D21" s="10"/>
      <c r="E21" s="10"/>
      <c r="F21" s="10"/>
      <c r="G21" s="10"/>
      <c r="H21" s="42"/>
      <c r="I21" s="42"/>
      <c r="J21" s="42"/>
    </row>
    <row r="22" spans="1:11" x14ac:dyDescent="0.2">
      <c r="B22" s="26" t="s">
        <v>65</v>
      </c>
      <c r="D22" s="10">
        <f>SUM(D15:D21)</f>
        <v>15206</v>
      </c>
      <c r="E22" s="10">
        <f>SUM(E15:E21)</f>
        <v>20142.7</v>
      </c>
      <c r="F22" s="10">
        <f>SUM(F15:F20)</f>
        <v>39826</v>
      </c>
      <c r="G22" s="10">
        <f>SUM(G15:G21)</f>
        <v>31043.22</v>
      </c>
      <c r="H22" s="42">
        <f>SUM(H16:H21)</f>
        <v>26992.949999999997</v>
      </c>
      <c r="I22" s="42">
        <f>SUM(I15:I21)</f>
        <v>32050</v>
      </c>
      <c r="J22" s="42">
        <f>SUM(J16:J21)</f>
        <v>37518</v>
      </c>
    </row>
    <row r="23" spans="1:11" x14ac:dyDescent="0.2">
      <c r="D23" s="10"/>
    </row>
    <row r="24" spans="1:11" x14ac:dyDescent="0.2">
      <c r="A24" s="13"/>
      <c r="D24" s="114">
        <f>D22-D12</f>
        <v>-23570</v>
      </c>
      <c r="E24" s="30" t="s">
        <v>1030</v>
      </c>
    </row>
    <row r="25" spans="1:11" x14ac:dyDescent="0.2">
      <c r="A25" s="29" t="s">
        <v>899</v>
      </c>
    </row>
    <row r="26" spans="1:11" x14ac:dyDescent="0.2">
      <c r="A26" s="29" t="s">
        <v>900</v>
      </c>
    </row>
    <row r="27" spans="1:11" x14ac:dyDescent="0.2">
      <c r="H27" s="13"/>
      <c r="I27" s="13"/>
    </row>
    <row r="28" spans="1:11" x14ac:dyDescent="0.2">
      <c r="A28" s="29"/>
      <c r="H28" s="13"/>
      <c r="I28" s="13"/>
    </row>
    <row r="29" spans="1:11" x14ac:dyDescent="0.2">
      <c r="H29" s="25"/>
      <c r="I29" s="25"/>
    </row>
    <row r="31" spans="1:11" x14ac:dyDescent="0.2">
      <c r="K31" s="29"/>
    </row>
  </sheetData>
  <phoneticPr fontId="2" type="noConversion"/>
  <pageMargins left="0.25" right="0.25" top="0.75" bottom="0.75" header="0.3" footer="0.3"/>
  <pageSetup orientation="landscape" r:id="rId1"/>
  <headerFooter alignWithMargins="0"/>
  <legacy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2"/>
  <sheetViews>
    <sheetView workbookViewId="0">
      <selection activeCell="E16" sqref="E16"/>
    </sheetView>
  </sheetViews>
  <sheetFormatPr defaultRowHeight="12.75" x14ac:dyDescent="0.2"/>
  <cols>
    <col min="1" max="1" width="18.42578125" customWidth="1"/>
    <col min="2" max="2" width="27.42578125" customWidth="1"/>
    <col min="3" max="3" width="5.7109375" customWidth="1"/>
    <col min="4" max="7" width="11.7109375" customWidth="1"/>
    <col min="8" max="10" width="10.7109375" customWidth="1"/>
  </cols>
  <sheetData>
    <row r="1" spans="1:10" ht="15.75" x14ac:dyDescent="0.25">
      <c r="B1" s="14" t="s">
        <v>804</v>
      </c>
      <c r="D1" s="1">
        <v>2015</v>
      </c>
      <c r="E1" s="51">
        <v>2014</v>
      </c>
      <c r="F1" s="51">
        <v>2014</v>
      </c>
      <c r="G1" s="51">
        <v>2013</v>
      </c>
      <c r="H1" s="51">
        <v>2012</v>
      </c>
      <c r="I1" s="51">
        <v>2011</v>
      </c>
      <c r="J1" s="17">
        <v>2010</v>
      </c>
    </row>
    <row r="2" spans="1:10" x14ac:dyDescent="0.2">
      <c r="D2" s="1" t="s">
        <v>596</v>
      </c>
      <c r="E2" s="51" t="s">
        <v>1052</v>
      </c>
      <c r="F2" s="51" t="s">
        <v>596</v>
      </c>
      <c r="G2" s="51" t="s">
        <v>597</v>
      </c>
      <c r="H2" s="51" t="s">
        <v>597</v>
      </c>
      <c r="I2" s="51" t="s">
        <v>597</v>
      </c>
      <c r="J2" s="51" t="s">
        <v>597</v>
      </c>
    </row>
    <row r="3" spans="1:10" x14ac:dyDescent="0.2">
      <c r="H3" t="s">
        <v>805</v>
      </c>
    </row>
    <row r="4" spans="1:10" x14ac:dyDescent="0.2">
      <c r="A4" t="s">
        <v>579</v>
      </c>
    </row>
    <row r="5" spans="1:10" x14ac:dyDescent="0.2">
      <c r="A5" t="s">
        <v>89</v>
      </c>
    </row>
    <row r="6" spans="1:10" x14ac:dyDescent="0.2">
      <c r="F6" s="10"/>
      <c r="G6" s="10"/>
    </row>
    <row r="7" spans="1:10" x14ac:dyDescent="0.2">
      <c r="B7" t="s">
        <v>225</v>
      </c>
      <c r="D7" s="10">
        <v>95000</v>
      </c>
      <c r="E7" s="10">
        <v>90000</v>
      </c>
      <c r="F7" s="10">
        <v>90000</v>
      </c>
      <c r="G7" s="10">
        <v>90000</v>
      </c>
      <c r="H7" s="10">
        <v>70000</v>
      </c>
      <c r="I7" s="10">
        <v>65000</v>
      </c>
      <c r="J7" s="10">
        <v>60000</v>
      </c>
    </row>
    <row r="8" spans="1:10" x14ac:dyDescent="0.2">
      <c r="B8" t="s">
        <v>226</v>
      </c>
      <c r="D8" s="10">
        <f>14964+16190</f>
        <v>31154</v>
      </c>
      <c r="E8" s="10">
        <v>33540</v>
      </c>
      <c r="F8" s="10">
        <v>33541</v>
      </c>
      <c r="G8" s="10">
        <v>43677.97</v>
      </c>
      <c r="H8" s="10">
        <v>38106.25</v>
      </c>
      <c r="I8" s="10">
        <v>77716</v>
      </c>
      <c r="J8" s="10">
        <v>80568.759999999995</v>
      </c>
    </row>
    <row r="9" spans="1:10" x14ac:dyDescent="0.2">
      <c r="B9" t="s">
        <v>227</v>
      </c>
      <c r="D9" s="10">
        <v>375</v>
      </c>
      <c r="E9" s="10">
        <v>375</v>
      </c>
      <c r="F9" s="10">
        <v>450</v>
      </c>
      <c r="G9" s="10">
        <v>325</v>
      </c>
      <c r="H9" s="10">
        <v>0</v>
      </c>
      <c r="I9" s="10">
        <v>0</v>
      </c>
      <c r="J9" s="10">
        <v>0</v>
      </c>
    </row>
    <row r="10" spans="1:10" x14ac:dyDescent="0.2">
      <c r="B10" t="s">
        <v>228</v>
      </c>
      <c r="D10" s="10">
        <v>0</v>
      </c>
      <c r="E10" s="10"/>
      <c r="F10" s="10">
        <v>0</v>
      </c>
      <c r="G10" s="10">
        <v>0</v>
      </c>
      <c r="H10" s="10">
        <v>431.25</v>
      </c>
      <c r="I10" s="10">
        <v>0</v>
      </c>
      <c r="J10" s="10">
        <v>200</v>
      </c>
    </row>
    <row r="11" spans="1:10" x14ac:dyDescent="0.2">
      <c r="D11" s="10"/>
      <c r="E11" s="10"/>
      <c r="F11" s="10"/>
      <c r="G11" s="10"/>
      <c r="H11" s="10"/>
      <c r="I11" s="10"/>
      <c r="J11" s="10"/>
    </row>
    <row r="12" spans="1:10" x14ac:dyDescent="0.2">
      <c r="B12" s="26" t="s">
        <v>65</v>
      </c>
      <c r="D12" s="10">
        <f>SUM(D7:D11)</f>
        <v>126529</v>
      </c>
      <c r="E12" s="10">
        <f>SUM(E7:E11)</f>
        <v>123915</v>
      </c>
      <c r="F12" s="10">
        <f>SUM(F7:F10)</f>
        <v>123991</v>
      </c>
      <c r="G12" s="10">
        <f>SUM(G7:G10)</f>
        <v>134002.97</v>
      </c>
      <c r="H12" s="10">
        <f>SUM(H7:H11)</f>
        <v>108537.5</v>
      </c>
      <c r="I12" s="10">
        <f>SUM(I7:I11)</f>
        <v>142716</v>
      </c>
      <c r="J12" s="10">
        <f>SUM(J7:J11)</f>
        <v>140768.76</v>
      </c>
    </row>
    <row r="13" spans="1:10" x14ac:dyDescent="0.2">
      <c r="D13" s="10"/>
      <c r="E13" s="10"/>
      <c r="F13" s="10"/>
      <c r="G13" s="10"/>
      <c r="H13" s="10"/>
      <c r="I13" s="10"/>
      <c r="J13" s="10"/>
    </row>
    <row r="14" spans="1:10" x14ac:dyDescent="0.2">
      <c r="A14" t="s">
        <v>88</v>
      </c>
      <c r="D14" s="10"/>
      <c r="E14" s="10"/>
      <c r="F14" s="10"/>
      <c r="G14" s="10"/>
      <c r="H14" s="10"/>
      <c r="I14" s="10"/>
      <c r="J14" s="10"/>
    </row>
    <row r="15" spans="1:10" x14ac:dyDescent="0.2">
      <c r="B15" t="s">
        <v>229</v>
      </c>
      <c r="D15" s="10">
        <v>100000</v>
      </c>
      <c r="E15" s="10">
        <v>0</v>
      </c>
      <c r="F15" s="73">
        <v>100000</v>
      </c>
      <c r="G15" s="73"/>
      <c r="H15" s="57"/>
      <c r="I15" s="57">
        <v>100292</v>
      </c>
      <c r="J15" s="57">
        <v>57500</v>
      </c>
    </row>
    <row r="16" spans="1:10" x14ac:dyDescent="0.2">
      <c r="B16" s="29" t="s">
        <v>1006</v>
      </c>
      <c r="D16" s="10">
        <v>0</v>
      </c>
      <c r="E16" s="10">
        <v>58359.6</v>
      </c>
      <c r="F16" s="10">
        <v>0</v>
      </c>
      <c r="G16" s="10">
        <v>121036.19</v>
      </c>
      <c r="H16" s="72">
        <v>122380.4</v>
      </c>
      <c r="I16" s="72">
        <v>0</v>
      </c>
      <c r="J16" s="72">
        <v>0</v>
      </c>
    </row>
    <row r="17" spans="1:12" x14ac:dyDescent="0.2">
      <c r="B17" t="s">
        <v>232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f>16133+104</f>
        <v>16237</v>
      </c>
      <c r="J17" s="10">
        <v>76500</v>
      </c>
    </row>
    <row r="18" spans="1:12" x14ac:dyDescent="0.2">
      <c r="B18" s="29" t="s">
        <v>889</v>
      </c>
      <c r="D18" s="10">
        <v>26529</v>
      </c>
      <c r="E18" s="10">
        <v>0</v>
      </c>
      <c r="F18" s="10">
        <v>23991</v>
      </c>
      <c r="G18" s="10">
        <v>0</v>
      </c>
      <c r="H18" s="10">
        <v>0</v>
      </c>
      <c r="I18" s="10">
        <v>0</v>
      </c>
      <c r="J18" s="10">
        <v>0</v>
      </c>
    </row>
    <row r="19" spans="1:12" x14ac:dyDescent="0.2">
      <c r="B19" s="29"/>
      <c r="D19" s="10"/>
      <c r="E19" s="10"/>
      <c r="F19" s="10"/>
      <c r="G19" s="10"/>
      <c r="H19" s="10"/>
      <c r="I19" s="10"/>
      <c r="J19" s="10"/>
    </row>
    <row r="20" spans="1:12" x14ac:dyDescent="0.2">
      <c r="B20" s="26" t="s">
        <v>65</v>
      </c>
      <c r="D20" s="10">
        <f>SUM(D15:D19)</f>
        <v>126529</v>
      </c>
      <c r="E20" s="10">
        <f>SUM(E15:E19)</f>
        <v>58359.6</v>
      </c>
      <c r="F20" s="22">
        <f t="shared" ref="F20:J20" si="0">SUM(F15:F18)</f>
        <v>123991</v>
      </c>
      <c r="G20" s="22">
        <f>SUM(G15:G18)</f>
        <v>121036.19</v>
      </c>
      <c r="H20" s="10">
        <f t="shared" si="0"/>
        <v>122380.4</v>
      </c>
      <c r="I20" s="10">
        <f t="shared" si="0"/>
        <v>116529</v>
      </c>
      <c r="J20" s="10">
        <f t="shared" si="0"/>
        <v>134000</v>
      </c>
    </row>
    <row r="21" spans="1:12" x14ac:dyDescent="0.2">
      <c r="E21" s="10"/>
    </row>
    <row r="22" spans="1:12" x14ac:dyDescent="0.2">
      <c r="A22" s="13"/>
    </row>
    <row r="23" spans="1:12" x14ac:dyDescent="0.2">
      <c r="A23" s="29" t="s">
        <v>894</v>
      </c>
    </row>
    <row r="24" spans="1:12" x14ac:dyDescent="0.2">
      <c r="A24" s="29" t="s">
        <v>895</v>
      </c>
    </row>
    <row r="25" spans="1:12" x14ac:dyDescent="0.2">
      <c r="A25" s="29" t="s">
        <v>896</v>
      </c>
    </row>
    <row r="27" spans="1:12" x14ac:dyDescent="0.2">
      <c r="H27" s="13"/>
      <c r="I27" s="13"/>
    </row>
    <row r="28" spans="1:12" x14ac:dyDescent="0.2">
      <c r="H28" s="13"/>
      <c r="I28" s="13"/>
    </row>
    <row r="29" spans="1:12" x14ac:dyDescent="0.2">
      <c r="H29" s="25"/>
      <c r="I29" s="25"/>
    </row>
    <row r="32" spans="1:12" x14ac:dyDescent="0.2">
      <c r="L32" s="29"/>
    </row>
  </sheetData>
  <phoneticPr fontId="2" type="noConversion"/>
  <pageMargins left="0.25" right="0.25" top="0.75" bottom="0.75" header="0.3" footer="0.3"/>
  <pageSetup orientation="landscape" r:id="rId1"/>
  <headerFooter alignWithMargins="0"/>
  <legacy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9"/>
  <sheetViews>
    <sheetView workbookViewId="0">
      <selection activeCell="K18" sqref="K18"/>
    </sheetView>
  </sheetViews>
  <sheetFormatPr defaultRowHeight="12.75" x14ac:dyDescent="0.2"/>
  <cols>
    <col min="1" max="1" width="16.28515625" bestFit="1" customWidth="1"/>
    <col min="2" max="2" width="34.42578125" bestFit="1" customWidth="1"/>
    <col min="3" max="4" width="11.7109375" customWidth="1"/>
    <col min="5" max="5" width="9.7109375" bestFit="1" customWidth="1"/>
    <col min="6" max="6" width="11.7109375" bestFit="1" customWidth="1"/>
  </cols>
  <sheetData>
    <row r="1" spans="1:12" ht="15.75" x14ac:dyDescent="0.25">
      <c r="B1" s="14" t="s">
        <v>901</v>
      </c>
      <c r="C1" s="1">
        <v>2015</v>
      </c>
      <c r="D1" s="51">
        <v>2014</v>
      </c>
      <c r="E1" s="51">
        <v>2014</v>
      </c>
      <c r="F1" s="51">
        <v>2013</v>
      </c>
      <c r="G1" s="51">
        <v>2012</v>
      </c>
      <c r="H1" s="51">
        <v>2011</v>
      </c>
      <c r="I1" s="17">
        <v>2010</v>
      </c>
    </row>
    <row r="2" spans="1:12" x14ac:dyDescent="0.2">
      <c r="B2" s="29"/>
      <c r="C2" s="1" t="s">
        <v>596</v>
      </c>
      <c r="D2" s="51" t="s">
        <v>1052</v>
      </c>
      <c r="E2" s="51" t="s">
        <v>596</v>
      </c>
      <c r="F2" s="51" t="s">
        <v>597</v>
      </c>
      <c r="G2" s="51" t="s">
        <v>597</v>
      </c>
      <c r="H2" s="51" t="s">
        <v>597</v>
      </c>
      <c r="I2" s="51" t="s">
        <v>597</v>
      </c>
    </row>
    <row r="4" spans="1:12" x14ac:dyDescent="0.2">
      <c r="A4" t="s">
        <v>579</v>
      </c>
      <c r="I4" s="29" t="s">
        <v>991</v>
      </c>
    </row>
    <row r="5" spans="1:12" x14ac:dyDescent="0.2">
      <c r="A5" t="s">
        <v>89</v>
      </c>
    </row>
    <row r="6" spans="1:12" x14ac:dyDescent="0.2">
      <c r="E6" s="10"/>
      <c r="F6" s="10"/>
    </row>
    <row r="7" spans="1:12" x14ac:dyDescent="0.2">
      <c r="A7" s="29"/>
      <c r="B7" t="s">
        <v>225</v>
      </c>
      <c r="C7" s="10">
        <v>30000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</row>
    <row r="8" spans="1:12" x14ac:dyDescent="0.2">
      <c r="A8" s="29"/>
      <c r="B8" t="s">
        <v>226</v>
      </c>
      <c r="C8" s="10">
        <f>20085/2+19860/2</f>
        <v>19972.5</v>
      </c>
      <c r="D8" s="10">
        <v>83572.759999999995</v>
      </c>
      <c r="E8" s="10">
        <v>83077</v>
      </c>
      <c r="F8" s="10">
        <v>0</v>
      </c>
      <c r="G8" s="10">
        <v>0</v>
      </c>
      <c r="H8" s="10">
        <v>0</v>
      </c>
      <c r="I8" s="10">
        <v>0</v>
      </c>
    </row>
    <row r="9" spans="1:12" x14ac:dyDescent="0.2">
      <c r="B9" t="s">
        <v>227</v>
      </c>
      <c r="C9" s="10">
        <v>600</v>
      </c>
      <c r="D9" s="10">
        <v>0</v>
      </c>
      <c r="E9" s="10">
        <v>450</v>
      </c>
      <c r="F9" s="10">
        <v>0</v>
      </c>
      <c r="G9" s="10">
        <v>0</v>
      </c>
      <c r="H9" s="10">
        <v>0</v>
      </c>
      <c r="I9" s="10">
        <v>0</v>
      </c>
    </row>
    <row r="10" spans="1:12" x14ac:dyDescent="0.2">
      <c r="B10" t="s">
        <v>228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</row>
    <row r="11" spans="1:12" x14ac:dyDescent="0.2">
      <c r="C11" s="10"/>
      <c r="D11" s="10"/>
      <c r="E11" s="10"/>
      <c r="F11" s="10"/>
      <c r="G11" s="42"/>
      <c r="H11" s="42"/>
      <c r="I11" s="42"/>
    </row>
    <row r="12" spans="1:12" x14ac:dyDescent="0.2">
      <c r="B12" s="26" t="s">
        <v>65</v>
      </c>
      <c r="C12" s="25">
        <f>SUM(C7:C11)</f>
        <v>50572.5</v>
      </c>
      <c r="D12" s="10">
        <f>SUM(D7:D10)</f>
        <v>83572.759999999995</v>
      </c>
      <c r="E12" s="10">
        <f>SUM(E7:E10)</f>
        <v>83527</v>
      </c>
      <c r="F12" s="10">
        <f>SUM(F7:F10)</f>
        <v>0</v>
      </c>
      <c r="G12" s="42">
        <f>SUM(G7:G11)</f>
        <v>0</v>
      </c>
      <c r="H12" s="42">
        <f>SUM(H7:H11)</f>
        <v>0</v>
      </c>
      <c r="I12" s="42">
        <f>SUM(I7:I11)</f>
        <v>0</v>
      </c>
    </row>
    <row r="13" spans="1:12" x14ac:dyDescent="0.2">
      <c r="C13" s="10"/>
      <c r="D13" s="10"/>
      <c r="E13" s="10"/>
      <c r="F13" s="10"/>
      <c r="G13" s="10"/>
      <c r="H13" s="10"/>
      <c r="I13" s="42"/>
      <c r="L13" s="30"/>
    </row>
    <row r="14" spans="1:12" x14ac:dyDescent="0.2">
      <c r="A14" t="s">
        <v>88</v>
      </c>
      <c r="C14" s="10"/>
      <c r="D14" s="10"/>
      <c r="E14" s="10"/>
      <c r="F14" s="10"/>
      <c r="G14" s="21"/>
      <c r="H14" s="21"/>
      <c r="I14" s="42"/>
      <c r="L14" s="30"/>
    </row>
    <row r="15" spans="1:12" x14ac:dyDescent="0.2">
      <c r="B15" t="s">
        <v>229</v>
      </c>
      <c r="C15" s="134">
        <v>50573</v>
      </c>
      <c r="D15" s="10">
        <v>0</v>
      </c>
      <c r="E15" s="10">
        <v>41847</v>
      </c>
      <c r="F15" s="10">
        <v>0</v>
      </c>
      <c r="G15" s="19">
        <v>0</v>
      </c>
      <c r="H15" s="57">
        <v>0</v>
      </c>
      <c r="I15" s="42">
        <v>0</v>
      </c>
    </row>
    <row r="16" spans="1:12" x14ac:dyDescent="0.2">
      <c r="B16" s="29" t="s">
        <v>897</v>
      </c>
      <c r="C16" s="134">
        <v>0</v>
      </c>
      <c r="D16" s="10">
        <v>0</v>
      </c>
      <c r="E16" s="10">
        <v>10742</v>
      </c>
      <c r="F16" s="10">
        <v>0</v>
      </c>
      <c r="G16" s="57">
        <v>0</v>
      </c>
      <c r="H16" s="49">
        <v>0</v>
      </c>
      <c r="I16" s="49">
        <v>0</v>
      </c>
    </row>
    <row r="17" spans="1:9" x14ac:dyDescent="0.2">
      <c r="B17" s="29" t="s">
        <v>1006</v>
      </c>
      <c r="C17" s="72">
        <v>0</v>
      </c>
      <c r="D17" s="10">
        <v>22789.19</v>
      </c>
      <c r="E17" s="10">
        <v>0</v>
      </c>
      <c r="F17" s="10">
        <v>0</v>
      </c>
      <c r="G17" s="57">
        <v>0</v>
      </c>
      <c r="H17" s="49">
        <v>0</v>
      </c>
      <c r="I17" s="49">
        <v>0</v>
      </c>
    </row>
    <row r="18" spans="1:9" x14ac:dyDescent="0.2">
      <c r="B18" s="29" t="s">
        <v>902</v>
      </c>
      <c r="C18" s="72">
        <v>0</v>
      </c>
      <c r="D18" s="10">
        <v>0</v>
      </c>
      <c r="E18" s="10">
        <v>11326</v>
      </c>
      <c r="F18" s="10">
        <v>11326</v>
      </c>
      <c r="G18" s="42">
        <v>0</v>
      </c>
      <c r="H18" s="42">
        <v>0</v>
      </c>
      <c r="I18" s="42">
        <v>0</v>
      </c>
    </row>
    <row r="19" spans="1:9" x14ac:dyDescent="0.2">
      <c r="B19" s="29" t="s">
        <v>903</v>
      </c>
      <c r="C19" s="72">
        <v>0</v>
      </c>
      <c r="D19" s="10">
        <v>0</v>
      </c>
      <c r="E19" s="10">
        <v>33343</v>
      </c>
      <c r="F19" s="10">
        <v>0</v>
      </c>
      <c r="G19" s="42">
        <v>0</v>
      </c>
      <c r="H19" s="42">
        <v>0</v>
      </c>
      <c r="I19" s="42">
        <v>0</v>
      </c>
    </row>
    <row r="20" spans="1:9" x14ac:dyDescent="0.2">
      <c r="B20" s="29" t="s">
        <v>904</v>
      </c>
      <c r="C20" s="72">
        <v>0</v>
      </c>
      <c r="D20" s="10">
        <v>25154</v>
      </c>
      <c r="E20" s="10">
        <v>25154</v>
      </c>
      <c r="F20" s="10">
        <v>0</v>
      </c>
      <c r="G20" s="42">
        <v>0</v>
      </c>
      <c r="H20" s="42">
        <v>0</v>
      </c>
      <c r="I20" s="42">
        <v>0</v>
      </c>
    </row>
    <row r="21" spans="1:9" x14ac:dyDescent="0.2">
      <c r="B21" s="29" t="s">
        <v>905</v>
      </c>
      <c r="C21" s="72">
        <v>0</v>
      </c>
      <c r="D21" s="10">
        <v>125000</v>
      </c>
      <c r="E21" s="10">
        <v>125000</v>
      </c>
      <c r="F21" s="10">
        <v>0</v>
      </c>
      <c r="G21" s="42">
        <v>0</v>
      </c>
      <c r="H21" s="42">
        <v>0</v>
      </c>
      <c r="I21" s="42">
        <v>0</v>
      </c>
    </row>
    <row r="22" spans="1:9" x14ac:dyDescent="0.2">
      <c r="C22" s="10"/>
      <c r="D22" s="10"/>
      <c r="E22" s="10"/>
      <c r="F22" s="10"/>
      <c r="G22" s="42"/>
      <c r="H22" s="42"/>
      <c r="I22" s="42"/>
    </row>
    <row r="23" spans="1:9" x14ac:dyDescent="0.2">
      <c r="B23" s="26" t="s">
        <v>65</v>
      </c>
      <c r="C23" s="25">
        <f>SUM(C15:C22)</f>
        <v>50573</v>
      </c>
      <c r="D23" s="10">
        <f>SUM(D15:D22)</f>
        <v>172943.19</v>
      </c>
      <c r="E23" s="10">
        <f>SUM(E15:E21)</f>
        <v>247412</v>
      </c>
      <c r="F23" s="10">
        <f>SUM(F15:F21)</f>
        <v>11326</v>
      </c>
      <c r="G23" s="42">
        <f>SUM(G16:G22)</f>
        <v>0</v>
      </c>
      <c r="H23" s="42">
        <f>SUM(H15:H22)</f>
        <v>0</v>
      </c>
      <c r="I23" s="42">
        <f>SUM(I16:I22)</f>
        <v>0</v>
      </c>
    </row>
    <row r="26" spans="1:9" x14ac:dyDescent="0.2">
      <c r="A26" s="29" t="s">
        <v>909</v>
      </c>
    </row>
    <row r="27" spans="1:9" x14ac:dyDescent="0.2">
      <c r="A27" s="29" t="s">
        <v>906</v>
      </c>
    </row>
    <row r="28" spans="1:9" x14ac:dyDescent="0.2">
      <c r="A28" s="29" t="s">
        <v>907</v>
      </c>
    </row>
    <row r="29" spans="1:9" x14ac:dyDescent="0.2">
      <c r="A29" s="29" t="s">
        <v>908</v>
      </c>
    </row>
  </sheetData>
  <pageMargins left="0.7" right="0.7" top="0.75" bottom="0.75" header="0.3" footer="0.3"/>
  <pageSetup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5"/>
  <sheetViews>
    <sheetView topLeftCell="A7" zoomScaleNormal="100" workbookViewId="0">
      <selection activeCell="L17" sqref="L17"/>
    </sheetView>
  </sheetViews>
  <sheetFormatPr defaultRowHeight="12.75" x14ac:dyDescent="0.2"/>
  <cols>
    <col min="1" max="1" width="18.28515625" customWidth="1"/>
    <col min="2" max="2" width="27.42578125" customWidth="1"/>
    <col min="3" max="6" width="11.7109375" customWidth="1"/>
    <col min="7" max="9" width="10.7109375" customWidth="1"/>
  </cols>
  <sheetData>
    <row r="1" spans="1:11" ht="15.75" x14ac:dyDescent="0.25">
      <c r="B1" s="14" t="s">
        <v>570</v>
      </c>
      <c r="C1" s="1">
        <v>2015</v>
      </c>
      <c r="D1" s="51">
        <v>2014</v>
      </c>
      <c r="E1" s="51">
        <v>2014</v>
      </c>
      <c r="F1" s="51">
        <v>2013</v>
      </c>
      <c r="G1" s="51">
        <v>2012</v>
      </c>
      <c r="H1" s="51">
        <v>2011</v>
      </c>
      <c r="I1" s="17">
        <v>2010</v>
      </c>
    </row>
    <row r="2" spans="1:11" x14ac:dyDescent="0.2">
      <c r="A2" t="s">
        <v>89</v>
      </c>
      <c r="C2" s="1" t="s">
        <v>596</v>
      </c>
      <c r="D2" s="51" t="s">
        <v>1076</v>
      </c>
      <c r="E2" s="51" t="s">
        <v>596</v>
      </c>
      <c r="F2" s="51" t="s">
        <v>1002</v>
      </c>
      <c r="G2" s="51" t="s">
        <v>597</v>
      </c>
      <c r="H2" s="51" t="s">
        <v>597</v>
      </c>
      <c r="I2" s="51" t="s">
        <v>597</v>
      </c>
    </row>
    <row r="3" spans="1:11" x14ac:dyDescent="0.2">
      <c r="A3" t="s">
        <v>223</v>
      </c>
    </row>
    <row r="4" spans="1:11" x14ac:dyDescent="0.2">
      <c r="A4" t="s">
        <v>90</v>
      </c>
      <c r="B4" t="s">
        <v>111</v>
      </c>
      <c r="C4" s="10">
        <v>5500</v>
      </c>
      <c r="D4" s="10">
        <v>2750</v>
      </c>
      <c r="E4" s="10">
        <v>5500</v>
      </c>
      <c r="F4" s="10">
        <v>5500</v>
      </c>
      <c r="G4" s="10">
        <v>5500</v>
      </c>
      <c r="H4" s="10">
        <v>5500</v>
      </c>
      <c r="I4" s="10">
        <v>5375</v>
      </c>
    </row>
    <row r="5" spans="1:11" x14ac:dyDescent="0.2">
      <c r="A5" t="s">
        <v>573</v>
      </c>
      <c r="C5" s="10"/>
      <c r="D5" s="10"/>
      <c r="E5" s="10"/>
      <c r="F5" s="10"/>
      <c r="G5" s="10"/>
      <c r="H5" s="10"/>
      <c r="I5" s="10"/>
    </row>
    <row r="6" spans="1:11" x14ac:dyDescent="0.2">
      <c r="A6" t="s">
        <v>91</v>
      </c>
      <c r="B6" t="s">
        <v>92</v>
      </c>
      <c r="C6" s="10">
        <f>C4*0.062</f>
        <v>341</v>
      </c>
      <c r="D6" s="10">
        <v>170.5</v>
      </c>
      <c r="E6" s="10">
        <v>341</v>
      </c>
      <c r="F6" s="10">
        <v>341</v>
      </c>
      <c r="G6" s="10">
        <f>G4*0.062</f>
        <v>341</v>
      </c>
      <c r="H6" s="10">
        <f>H4*0.062</f>
        <v>341</v>
      </c>
      <c r="I6" s="10">
        <v>333</v>
      </c>
    </row>
    <row r="7" spans="1:11" x14ac:dyDescent="0.2">
      <c r="A7" t="s">
        <v>93</v>
      </c>
      <c r="B7" t="s">
        <v>94</v>
      </c>
      <c r="C7" s="10">
        <f>C4*0.0145</f>
        <v>79.75</v>
      </c>
      <c r="D7" s="10">
        <v>39.880000000000003</v>
      </c>
      <c r="E7" s="10">
        <v>80</v>
      </c>
      <c r="F7" s="10">
        <v>79.760000000000005</v>
      </c>
      <c r="G7" s="10">
        <v>79.760000000000005</v>
      </c>
      <c r="H7" s="10">
        <f>H4*0.0145</f>
        <v>79.75</v>
      </c>
      <c r="I7" s="10">
        <v>78</v>
      </c>
    </row>
    <row r="8" spans="1:11" x14ac:dyDescent="0.2">
      <c r="A8" t="s">
        <v>50</v>
      </c>
      <c r="C8" s="10"/>
      <c r="D8" s="10"/>
      <c r="E8" s="10"/>
      <c r="F8" s="10"/>
      <c r="G8" s="10"/>
      <c r="H8" s="10"/>
      <c r="I8" s="10"/>
    </row>
    <row r="9" spans="1:11" x14ac:dyDescent="0.2">
      <c r="A9" t="s">
        <v>66</v>
      </c>
      <c r="B9" t="s">
        <v>574</v>
      </c>
      <c r="C9" s="10">
        <v>0</v>
      </c>
      <c r="D9" s="10">
        <v>0</v>
      </c>
      <c r="E9" s="10">
        <v>49</v>
      </c>
      <c r="F9" s="10">
        <v>45</v>
      </c>
      <c r="G9" s="41">
        <v>45</v>
      </c>
      <c r="H9" s="41">
        <v>79</v>
      </c>
      <c r="I9" s="41">
        <v>40</v>
      </c>
      <c r="K9" s="6"/>
    </row>
    <row r="10" spans="1:11" x14ac:dyDescent="0.2">
      <c r="A10" s="13" t="s">
        <v>640</v>
      </c>
      <c r="C10" s="10"/>
      <c r="D10" s="10"/>
      <c r="E10" s="10"/>
      <c r="F10" s="10"/>
      <c r="G10" s="42"/>
      <c r="H10" s="42"/>
      <c r="I10" s="42"/>
    </row>
    <row r="11" spans="1:11" x14ac:dyDescent="0.2">
      <c r="A11" s="13" t="s">
        <v>639</v>
      </c>
      <c r="B11" s="13" t="s">
        <v>615</v>
      </c>
      <c r="C11" s="21">
        <v>0</v>
      </c>
      <c r="D11" s="21">
        <v>0</v>
      </c>
      <c r="E11" s="21">
        <v>0</v>
      </c>
      <c r="F11" s="21">
        <v>0</v>
      </c>
      <c r="G11" s="42">
        <v>0</v>
      </c>
      <c r="H11" s="42">
        <f>184+46+145</f>
        <v>375</v>
      </c>
      <c r="I11" s="42">
        <v>87</v>
      </c>
    </row>
    <row r="12" spans="1:11" x14ac:dyDescent="0.2">
      <c r="A12" s="29" t="s">
        <v>717</v>
      </c>
      <c r="B12" s="13"/>
      <c r="C12" s="21"/>
      <c r="D12" s="21"/>
      <c r="E12" s="21"/>
      <c r="F12" s="21"/>
      <c r="G12" s="42"/>
      <c r="H12" s="42"/>
      <c r="I12" s="42"/>
    </row>
    <row r="13" spans="1:11" x14ac:dyDescent="0.2">
      <c r="A13" s="29" t="s">
        <v>763</v>
      </c>
      <c r="B13" s="29" t="s">
        <v>12</v>
      </c>
      <c r="C13" s="21">
        <v>0</v>
      </c>
      <c r="D13" s="21">
        <v>-800</v>
      </c>
      <c r="E13" s="21">
        <v>0</v>
      </c>
      <c r="F13" s="21">
        <v>10275</v>
      </c>
      <c r="G13" s="42">
        <v>5748.5</v>
      </c>
      <c r="H13" s="42">
        <v>18572</v>
      </c>
      <c r="I13" s="42">
        <v>0</v>
      </c>
    </row>
    <row r="14" spans="1:11" x14ac:dyDescent="0.2">
      <c r="A14" s="13" t="s">
        <v>165</v>
      </c>
      <c r="C14" s="10"/>
      <c r="D14" s="10"/>
      <c r="E14" s="10"/>
      <c r="F14" s="10"/>
      <c r="G14" s="42"/>
      <c r="H14" s="42"/>
      <c r="I14" s="42"/>
    </row>
    <row r="15" spans="1:11" x14ac:dyDescent="0.2">
      <c r="A15" s="13" t="s">
        <v>636</v>
      </c>
      <c r="B15" s="13" t="s">
        <v>167</v>
      </c>
      <c r="C15" s="21">
        <v>0</v>
      </c>
      <c r="D15" s="21">
        <v>0</v>
      </c>
      <c r="E15" s="21">
        <v>0</v>
      </c>
      <c r="F15" s="21">
        <v>174.33</v>
      </c>
      <c r="G15" s="42">
        <v>347.6</v>
      </c>
      <c r="H15" s="42">
        <v>240</v>
      </c>
      <c r="I15" s="42">
        <v>0</v>
      </c>
    </row>
    <row r="16" spans="1:11" x14ac:dyDescent="0.2">
      <c r="A16" s="13" t="s">
        <v>153</v>
      </c>
      <c r="C16" s="10"/>
      <c r="D16" s="10"/>
      <c r="E16" s="10"/>
      <c r="F16" s="10"/>
      <c r="G16" s="42"/>
      <c r="H16" s="42"/>
      <c r="I16" s="42"/>
    </row>
    <row r="17" spans="1:9" x14ac:dyDescent="0.2">
      <c r="A17" s="13" t="s">
        <v>637</v>
      </c>
      <c r="B17" s="13" t="s">
        <v>641</v>
      </c>
      <c r="C17" s="21">
        <v>0</v>
      </c>
      <c r="D17" s="21">
        <v>0</v>
      </c>
      <c r="E17" s="21">
        <v>0</v>
      </c>
      <c r="F17" s="21">
        <v>0</v>
      </c>
      <c r="G17" s="42">
        <v>0</v>
      </c>
      <c r="H17" s="42">
        <v>0</v>
      </c>
      <c r="I17" s="42">
        <v>42</v>
      </c>
    </row>
    <row r="18" spans="1:9" x14ac:dyDescent="0.2">
      <c r="A18" s="13" t="s">
        <v>638</v>
      </c>
      <c r="B18" s="13" t="s">
        <v>156</v>
      </c>
      <c r="C18" s="21">
        <v>0</v>
      </c>
      <c r="D18" s="21">
        <v>0</v>
      </c>
      <c r="E18" s="21">
        <v>0</v>
      </c>
      <c r="F18" s="21">
        <v>0</v>
      </c>
      <c r="G18" s="42">
        <v>0</v>
      </c>
      <c r="H18" s="42">
        <v>70</v>
      </c>
      <c r="I18" s="42">
        <v>0</v>
      </c>
    </row>
    <row r="19" spans="1:9" x14ac:dyDescent="0.2">
      <c r="A19" t="s">
        <v>146</v>
      </c>
      <c r="C19" s="10"/>
      <c r="D19" s="10"/>
      <c r="E19" s="10"/>
      <c r="F19" s="10"/>
      <c r="G19" s="42"/>
      <c r="H19" s="42"/>
      <c r="I19" s="42"/>
    </row>
    <row r="20" spans="1:9" x14ac:dyDescent="0.2">
      <c r="A20" t="s">
        <v>95</v>
      </c>
      <c r="B20" t="s">
        <v>96</v>
      </c>
      <c r="C20" s="10">
        <v>0</v>
      </c>
      <c r="D20" s="10">
        <v>0</v>
      </c>
      <c r="E20" s="10">
        <v>0</v>
      </c>
      <c r="F20" s="10">
        <v>161</v>
      </c>
      <c r="G20" s="42">
        <v>2932.5</v>
      </c>
      <c r="H20" s="42">
        <v>2525</v>
      </c>
      <c r="I20" s="42">
        <v>2364</v>
      </c>
    </row>
    <row r="21" spans="1:9" x14ac:dyDescent="0.2">
      <c r="A21" t="s">
        <v>120</v>
      </c>
      <c r="C21" s="10"/>
      <c r="D21" s="10"/>
      <c r="E21" s="10"/>
      <c r="F21" s="10"/>
      <c r="G21" s="42"/>
      <c r="H21" s="42"/>
      <c r="I21" s="42"/>
    </row>
    <row r="22" spans="1:9" x14ac:dyDescent="0.2">
      <c r="A22" t="s">
        <v>97</v>
      </c>
      <c r="B22" t="s">
        <v>104</v>
      </c>
      <c r="C22" s="10">
        <v>0</v>
      </c>
      <c r="D22" s="10">
        <v>30</v>
      </c>
      <c r="E22" s="10">
        <v>0</v>
      </c>
      <c r="F22" s="10">
        <v>65</v>
      </c>
      <c r="G22" s="42">
        <v>95</v>
      </c>
      <c r="H22" s="42">
        <v>55</v>
      </c>
      <c r="I22" s="42">
        <v>0</v>
      </c>
    </row>
    <row r="23" spans="1:9" x14ac:dyDescent="0.2">
      <c r="A23" t="s">
        <v>98</v>
      </c>
      <c r="B23" t="s">
        <v>714</v>
      </c>
      <c r="C23" s="10">
        <v>0</v>
      </c>
      <c r="D23" s="10">
        <v>0</v>
      </c>
      <c r="E23" s="10">
        <v>0</v>
      </c>
      <c r="F23" s="10">
        <v>0</v>
      </c>
      <c r="G23" s="42">
        <v>0</v>
      </c>
      <c r="H23" s="42">
        <v>19</v>
      </c>
      <c r="I23" s="42">
        <v>0</v>
      </c>
    </row>
    <row r="24" spans="1:9" x14ac:dyDescent="0.2">
      <c r="A24" s="13" t="s">
        <v>605</v>
      </c>
      <c r="B24" t="s">
        <v>1045</v>
      </c>
      <c r="C24" s="129">
        <v>2000</v>
      </c>
      <c r="D24" s="10">
        <v>117.8</v>
      </c>
      <c r="E24" s="10">
        <v>1000</v>
      </c>
      <c r="F24" s="10">
        <v>397.44</v>
      </c>
      <c r="G24" s="42">
        <v>2751.6</v>
      </c>
      <c r="H24" s="42">
        <v>2655</v>
      </c>
      <c r="I24" s="42">
        <v>1429</v>
      </c>
    </row>
    <row r="25" spans="1:9" x14ac:dyDescent="0.2">
      <c r="A25" t="s">
        <v>99</v>
      </c>
      <c r="B25" t="s">
        <v>105</v>
      </c>
      <c r="C25" s="10">
        <v>0</v>
      </c>
      <c r="D25" s="10">
        <v>0</v>
      </c>
      <c r="E25" s="10">
        <v>0</v>
      </c>
      <c r="F25" s="10">
        <v>84.39</v>
      </c>
      <c r="G25" s="42">
        <v>0</v>
      </c>
      <c r="H25" s="42">
        <v>9930</v>
      </c>
      <c r="I25" s="42">
        <v>0</v>
      </c>
    </row>
    <row r="26" spans="1:9" x14ac:dyDescent="0.2">
      <c r="A26" s="13" t="s">
        <v>635</v>
      </c>
      <c r="B26" s="13" t="s">
        <v>690</v>
      </c>
      <c r="C26" s="21">
        <v>0</v>
      </c>
      <c r="D26" s="21">
        <v>0</v>
      </c>
      <c r="E26" s="21">
        <v>0</v>
      </c>
      <c r="F26" s="21">
        <v>0</v>
      </c>
      <c r="G26" s="42">
        <v>5800</v>
      </c>
      <c r="H26" s="42">
        <v>1000</v>
      </c>
      <c r="I26" s="41">
        <v>6000</v>
      </c>
    </row>
    <row r="27" spans="1:9" x14ac:dyDescent="0.2">
      <c r="A27" s="13"/>
      <c r="B27" s="33" t="s">
        <v>883</v>
      </c>
      <c r="C27" s="21">
        <v>1000</v>
      </c>
      <c r="D27" s="21">
        <v>1500</v>
      </c>
      <c r="E27" s="21">
        <v>2500</v>
      </c>
      <c r="F27" s="21">
        <v>2500</v>
      </c>
      <c r="G27" s="42"/>
      <c r="H27" s="42"/>
      <c r="I27" s="41"/>
    </row>
    <row r="28" spans="1:9" x14ac:dyDescent="0.2">
      <c r="A28" s="13"/>
      <c r="B28" s="33" t="s">
        <v>930</v>
      </c>
      <c r="C28" s="21">
        <v>500</v>
      </c>
      <c r="D28" s="21">
        <v>0</v>
      </c>
      <c r="E28" s="21">
        <v>500</v>
      </c>
      <c r="F28" s="21">
        <v>0</v>
      </c>
      <c r="G28" s="42"/>
      <c r="H28" s="42"/>
      <c r="I28" s="41"/>
    </row>
    <row r="29" spans="1:9" x14ac:dyDescent="0.2">
      <c r="A29" s="13"/>
      <c r="B29" s="33" t="s">
        <v>884</v>
      </c>
      <c r="C29" s="21">
        <v>1000</v>
      </c>
      <c r="D29" s="21">
        <v>1500</v>
      </c>
      <c r="E29" s="21">
        <v>500</v>
      </c>
      <c r="F29" s="21">
        <v>1500</v>
      </c>
      <c r="G29" s="42"/>
      <c r="H29" s="42"/>
      <c r="I29" s="41"/>
    </row>
    <row r="30" spans="1:9" x14ac:dyDescent="0.2">
      <c r="A30" s="13"/>
      <c r="B30" s="33" t="s">
        <v>885</v>
      </c>
      <c r="C30" s="21">
        <v>900</v>
      </c>
      <c r="D30" s="21">
        <v>900</v>
      </c>
      <c r="E30" s="21">
        <v>1500</v>
      </c>
      <c r="F30" s="21">
        <v>0</v>
      </c>
      <c r="G30" s="42"/>
      <c r="H30" s="42"/>
      <c r="I30" s="41"/>
    </row>
    <row r="31" spans="1:9" x14ac:dyDescent="0.2">
      <c r="A31" s="13"/>
      <c r="B31" s="13"/>
      <c r="C31" s="21"/>
      <c r="D31" s="21"/>
      <c r="E31" s="21"/>
      <c r="F31" s="21"/>
      <c r="G31" s="42"/>
      <c r="H31" s="42"/>
      <c r="I31" s="42"/>
    </row>
    <row r="32" spans="1:9" x14ac:dyDescent="0.2">
      <c r="A32" s="36"/>
      <c r="B32" s="25" t="s">
        <v>65</v>
      </c>
      <c r="C32" s="25">
        <f>SUM(C4:C31)</f>
        <v>11320.75</v>
      </c>
      <c r="D32" s="25">
        <f>SUM(D4:D30)</f>
        <v>6208.18</v>
      </c>
      <c r="E32" s="25">
        <f>SUM(E4:E31)</f>
        <v>11970</v>
      </c>
      <c r="F32" s="25">
        <f>SUM(F4:F30)</f>
        <v>21122.92</v>
      </c>
      <c r="G32" s="46">
        <f t="shared" ref="G32:I32" si="0">SUM(G4:G31)</f>
        <v>23640.959999999999</v>
      </c>
      <c r="H32" s="46">
        <f t="shared" si="0"/>
        <v>41440.75</v>
      </c>
      <c r="I32" s="46">
        <f t="shared" si="0"/>
        <v>15748</v>
      </c>
    </row>
    <row r="33" spans="1:9" x14ac:dyDescent="0.2">
      <c r="A33" s="43"/>
      <c r="I33" s="36"/>
    </row>
    <row r="34" spans="1:9" x14ac:dyDescent="0.2">
      <c r="A34" s="36"/>
    </row>
    <row r="35" spans="1:9" x14ac:dyDescent="0.2">
      <c r="A35" t="s">
        <v>1044</v>
      </c>
    </row>
  </sheetData>
  <phoneticPr fontId="2" type="noConversion"/>
  <pageMargins left="0.25" right="0.25" top="0.75" bottom="0.75" header="0.3" footer="0.3"/>
  <pageSetup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83"/>
  <sheetViews>
    <sheetView topLeftCell="A37" zoomScaleNormal="100" workbookViewId="0">
      <selection activeCell="C69" sqref="C69"/>
    </sheetView>
  </sheetViews>
  <sheetFormatPr defaultRowHeight="12.75" x14ac:dyDescent="0.2"/>
  <cols>
    <col min="1" max="1" width="18.28515625" customWidth="1"/>
    <col min="2" max="2" width="29.42578125" bestFit="1" customWidth="1"/>
    <col min="3" max="4" width="11.7109375" customWidth="1"/>
    <col min="5" max="6" width="11.7109375" style="22" customWidth="1"/>
    <col min="7" max="8" width="11.7109375" customWidth="1"/>
    <col min="9" max="9" width="10.7109375" customWidth="1"/>
  </cols>
  <sheetData>
    <row r="1" spans="1:9" ht="15.75" x14ac:dyDescent="0.25">
      <c r="B1" s="14" t="s">
        <v>569</v>
      </c>
      <c r="C1" s="1">
        <v>2015</v>
      </c>
      <c r="D1" s="51">
        <v>2014</v>
      </c>
      <c r="E1" s="109">
        <v>2014</v>
      </c>
      <c r="F1" s="109">
        <v>2013</v>
      </c>
      <c r="G1" s="51">
        <v>2012</v>
      </c>
      <c r="H1" s="51">
        <v>2011</v>
      </c>
      <c r="I1" s="17">
        <v>2010</v>
      </c>
    </row>
    <row r="2" spans="1:9" x14ac:dyDescent="0.2">
      <c r="A2" t="s">
        <v>89</v>
      </c>
      <c r="C2" s="1" t="s">
        <v>596</v>
      </c>
      <c r="D2" s="51" t="s">
        <v>1076</v>
      </c>
      <c r="E2" s="35" t="s">
        <v>596</v>
      </c>
      <c r="F2" s="35" t="s">
        <v>1002</v>
      </c>
      <c r="G2" s="51" t="s">
        <v>597</v>
      </c>
      <c r="H2" s="51" t="s">
        <v>597</v>
      </c>
      <c r="I2" s="51" t="s">
        <v>597</v>
      </c>
    </row>
    <row r="3" spans="1:9" x14ac:dyDescent="0.2">
      <c r="A3" t="s">
        <v>223</v>
      </c>
    </row>
    <row r="4" spans="1:9" x14ac:dyDescent="0.2">
      <c r="A4" t="s">
        <v>107</v>
      </c>
      <c r="B4" t="s">
        <v>109</v>
      </c>
      <c r="C4" s="10">
        <f>38896+46000</f>
        <v>84896</v>
      </c>
      <c r="D4" s="10">
        <v>67645.789999999994</v>
      </c>
      <c r="E4" s="10">
        <v>83106</v>
      </c>
      <c r="F4" s="10">
        <v>39993.279999999999</v>
      </c>
      <c r="G4" s="41">
        <v>50508</v>
      </c>
      <c r="H4" s="41">
        <v>60728</v>
      </c>
      <c r="I4" s="41">
        <v>66986</v>
      </c>
    </row>
    <row r="5" spans="1:9" x14ac:dyDescent="0.2">
      <c r="A5" t="s">
        <v>108</v>
      </c>
      <c r="B5" t="s">
        <v>110</v>
      </c>
      <c r="C5" s="10"/>
      <c r="D5" s="10">
        <v>948.06</v>
      </c>
      <c r="E5" s="10">
        <v>0</v>
      </c>
      <c r="F5" s="10">
        <v>0</v>
      </c>
      <c r="G5" s="42">
        <v>0</v>
      </c>
      <c r="H5" s="42">
        <v>700</v>
      </c>
      <c r="I5" s="42">
        <v>103</v>
      </c>
    </row>
    <row r="6" spans="1:9" x14ac:dyDescent="0.2">
      <c r="A6" t="s">
        <v>224</v>
      </c>
      <c r="B6" t="s">
        <v>54</v>
      </c>
      <c r="C6" s="10">
        <v>13000</v>
      </c>
      <c r="D6" s="10">
        <f>4871.94</f>
        <v>4871.9399999999996</v>
      </c>
      <c r="E6" s="10">
        <v>5500</v>
      </c>
      <c r="F6" s="10">
        <v>4329.12</v>
      </c>
      <c r="G6" s="41">
        <v>4281.29</v>
      </c>
      <c r="H6" s="41">
        <v>4050</v>
      </c>
      <c r="I6" s="41">
        <v>3945</v>
      </c>
    </row>
    <row r="7" spans="1:9" x14ac:dyDescent="0.2">
      <c r="A7" t="s">
        <v>1077</v>
      </c>
      <c r="B7" t="s">
        <v>874</v>
      </c>
      <c r="C7" s="10">
        <v>0</v>
      </c>
      <c r="D7" s="10">
        <v>8.86</v>
      </c>
      <c r="E7" s="10">
        <v>0</v>
      </c>
      <c r="F7" s="10">
        <v>0</v>
      </c>
      <c r="G7" s="41">
        <v>0</v>
      </c>
      <c r="H7" s="41">
        <v>0</v>
      </c>
      <c r="I7" s="41">
        <v>0</v>
      </c>
    </row>
    <row r="8" spans="1:9" x14ac:dyDescent="0.2">
      <c r="A8" s="13" t="s">
        <v>606</v>
      </c>
      <c r="B8" t="s">
        <v>53</v>
      </c>
      <c r="C8" s="10">
        <v>0</v>
      </c>
      <c r="D8" s="10">
        <v>1334.45</v>
      </c>
      <c r="E8" s="10">
        <v>4700</v>
      </c>
      <c r="F8" s="10">
        <v>1090.75</v>
      </c>
      <c r="G8" s="42">
        <v>15.3</v>
      </c>
      <c r="H8" s="42">
        <v>1184.3</v>
      </c>
      <c r="I8" s="42">
        <v>1491</v>
      </c>
    </row>
    <row r="9" spans="1:9" x14ac:dyDescent="0.2">
      <c r="A9" t="s">
        <v>219</v>
      </c>
      <c r="C9" s="10"/>
      <c r="D9" s="10"/>
      <c r="E9" s="10"/>
      <c r="F9" s="10"/>
      <c r="G9" s="42"/>
      <c r="H9" s="42"/>
      <c r="I9" s="42"/>
    </row>
    <row r="10" spans="1:9" x14ac:dyDescent="0.2">
      <c r="A10" t="s">
        <v>220</v>
      </c>
      <c r="B10" t="s">
        <v>221</v>
      </c>
      <c r="C10" s="10">
        <f>0.075*SUM(C4:C8)</f>
        <v>7342.2</v>
      </c>
      <c r="D10" s="10">
        <v>5249.29</v>
      </c>
      <c r="E10" s="10">
        <f>0.0725*SUM(E4:E8)</f>
        <v>6764.6849999999995</v>
      </c>
      <c r="F10" s="10">
        <v>2906.05</v>
      </c>
      <c r="G10" s="41">
        <v>3661.88</v>
      </c>
      <c r="H10" s="41">
        <v>4539</v>
      </c>
      <c r="I10" s="41">
        <v>4798</v>
      </c>
    </row>
    <row r="11" spans="1:9" x14ac:dyDescent="0.2">
      <c r="A11" t="s">
        <v>112</v>
      </c>
      <c r="B11" t="s">
        <v>92</v>
      </c>
      <c r="C11" s="10">
        <f>0.062*SUM(C4:C8)</f>
        <v>6069.5519999999997</v>
      </c>
      <c r="D11" s="10">
        <v>4645.79</v>
      </c>
      <c r="E11" s="10">
        <f>(E4+E6+E8)*0.0625</f>
        <v>5831.625</v>
      </c>
      <c r="F11" s="10">
        <v>2787.78</v>
      </c>
      <c r="G11" s="41">
        <v>3386.56</v>
      </c>
      <c r="H11" s="41">
        <v>4070</v>
      </c>
      <c r="I11" s="41">
        <v>4402</v>
      </c>
    </row>
    <row r="12" spans="1:9" x14ac:dyDescent="0.2">
      <c r="A12" t="s">
        <v>113</v>
      </c>
      <c r="B12" t="s">
        <v>94</v>
      </c>
      <c r="C12" s="10">
        <f>0.0145*SUM(C4:C8)</f>
        <v>1419.492</v>
      </c>
      <c r="D12" s="10">
        <v>1086.49</v>
      </c>
      <c r="E12" s="10">
        <f>SUM(E4+E6+E8)*0.0145</f>
        <v>1352.9370000000001</v>
      </c>
      <c r="F12" s="10">
        <v>651.89</v>
      </c>
      <c r="G12" s="41">
        <v>791.95</v>
      </c>
      <c r="H12" s="41">
        <v>951</v>
      </c>
      <c r="I12" s="41">
        <v>1030</v>
      </c>
    </row>
    <row r="13" spans="1:9" x14ac:dyDescent="0.2">
      <c r="A13" t="s">
        <v>214</v>
      </c>
      <c r="C13" s="10"/>
      <c r="D13" s="10"/>
      <c r="E13" s="10"/>
      <c r="F13" s="10"/>
      <c r="G13" s="42"/>
      <c r="H13" s="42"/>
      <c r="I13" s="42"/>
    </row>
    <row r="14" spans="1:9" x14ac:dyDescent="0.2">
      <c r="A14" t="s">
        <v>215</v>
      </c>
      <c r="B14" t="s">
        <v>216</v>
      </c>
      <c r="C14" s="10">
        <v>19272</v>
      </c>
      <c r="D14" s="10">
        <v>15546.13</v>
      </c>
      <c r="E14" s="10">
        <f>(803*12)*2</f>
        <v>19272</v>
      </c>
      <c r="F14" s="10">
        <v>8618.5</v>
      </c>
      <c r="G14" s="41">
        <v>9402</v>
      </c>
      <c r="H14" s="41">
        <v>14032</v>
      </c>
      <c r="I14" s="41">
        <v>14247</v>
      </c>
    </row>
    <row r="15" spans="1:9" x14ac:dyDescent="0.2">
      <c r="A15" t="s">
        <v>217</v>
      </c>
      <c r="B15" t="s">
        <v>218</v>
      </c>
      <c r="C15" s="10">
        <f>56.61*12*2</f>
        <v>1358.6399999999999</v>
      </c>
      <c r="D15" s="10">
        <v>1095.97</v>
      </c>
      <c r="E15" s="10">
        <f>(56.61*12)*2</f>
        <v>1358.6399999999999</v>
      </c>
      <c r="F15" s="10">
        <v>464</v>
      </c>
      <c r="G15" s="42">
        <v>416.82</v>
      </c>
      <c r="H15" s="42">
        <v>989</v>
      </c>
      <c r="I15" s="42">
        <v>1045</v>
      </c>
    </row>
    <row r="16" spans="1:9" x14ac:dyDescent="0.2">
      <c r="A16" s="29" t="s">
        <v>886</v>
      </c>
      <c r="B16" s="29" t="s">
        <v>887</v>
      </c>
      <c r="C16" s="10">
        <v>0</v>
      </c>
      <c r="D16" s="10">
        <v>0</v>
      </c>
      <c r="E16" s="10">
        <v>0</v>
      </c>
      <c r="F16" s="10">
        <v>8099</v>
      </c>
      <c r="G16" s="42">
        <v>0</v>
      </c>
      <c r="H16" s="42">
        <v>0</v>
      </c>
      <c r="I16" s="42">
        <v>0</v>
      </c>
    </row>
    <row r="17" spans="1:9" x14ac:dyDescent="0.2">
      <c r="A17" t="s">
        <v>50</v>
      </c>
      <c r="C17" s="10"/>
      <c r="D17" s="10"/>
      <c r="E17" s="10"/>
      <c r="F17" s="10"/>
      <c r="G17" s="42"/>
      <c r="H17" s="42"/>
      <c r="I17" s="42"/>
    </row>
    <row r="18" spans="1:9" x14ac:dyDescent="0.2">
      <c r="A18" t="s">
        <v>212</v>
      </c>
      <c r="B18" t="s">
        <v>213</v>
      </c>
      <c r="C18" s="10">
        <v>650</v>
      </c>
      <c r="D18" s="10">
        <v>0</v>
      </c>
      <c r="E18" s="10">
        <v>623</v>
      </c>
      <c r="F18" s="10">
        <v>482</v>
      </c>
      <c r="G18" s="41">
        <v>623</v>
      </c>
      <c r="H18" s="41">
        <v>1821</v>
      </c>
      <c r="I18" s="41">
        <v>885</v>
      </c>
    </row>
    <row r="19" spans="1:9" x14ac:dyDescent="0.2">
      <c r="A19" t="s">
        <v>36</v>
      </c>
      <c r="C19" s="10"/>
      <c r="D19" s="10"/>
      <c r="E19" s="10"/>
      <c r="F19" s="10"/>
      <c r="G19" s="42"/>
      <c r="H19" s="42"/>
      <c r="I19" s="42"/>
    </row>
    <row r="20" spans="1:9" x14ac:dyDescent="0.2">
      <c r="A20" t="s">
        <v>37</v>
      </c>
      <c r="B20" t="s">
        <v>38</v>
      </c>
      <c r="C20" s="10">
        <v>0</v>
      </c>
      <c r="D20" s="10">
        <v>0</v>
      </c>
      <c r="E20" s="10">
        <v>0</v>
      </c>
      <c r="F20" s="10">
        <v>27.36</v>
      </c>
      <c r="G20" s="42">
        <v>0</v>
      </c>
      <c r="H20" s="42">
        <v>48</v>
      </c>
      <c r="I20" s="42">
        <v>0</v>
      </c>
    </row>
    <row r="21" spans="1:9" x14ac:dyDescent="0.2">
      <c r="A21" t="s">
        <v>39</v>
      </c>
      <c r="B21" t="s">
        <v>40</v>
      </c>
      <c r="C21" s="10">
        <v>0</v>
      </c>
      <c r="D21" s="10">
        <v>0</v>
      </c>
      <c r="E21" s="10">
        <v>0</v>
      </c>
      <c r="F21" s="10">
        <v>18.739999999999998</v>
      </c>
      <c r="G21" s="42">
        <v>209.61</v>
      </c>
      <c r="H21" s="42">
        <v>110</v>
      </c>
      <c r="I21" s="42">
        <v>587</v>
      </c>
    </row>
    <row r="22" spans="1:9" x14ac:dyDescent="0.2">
      <c r="A22" t="s">
        <v>41</v>
      </c>
      <c r="B22" t="s">
        <v>42</v>
      </c>
      <c r="C22" s="10">
        <v>0</v>
      </c>
      <c r="D22" s="10">
        <v>0</v>
      </c>
      <c r="E22" s="10">
        <v>0</v>
      </c>
      <c r="F22" s="10">
        <v>45.21</v>
      </c>
      <c r="G22" s="42">
        <v>535.08000000000004</v>
      </c>
      <c r="H22" s="42">
        <v>446</v>
      </c>
      <c r="I22" s="42">
        <v>874</v>
      </c>
    </row>
    <row r="23" spans="1:9" x14ac:dyDescent="0.2">
      <c r="A23" t="s">
        <v>43</v>
      </c>
      <c r="B23" t="s">
        <v>44</v>
      </c>
      <c r="C23" s="10">
        <v>0</v>
      </c>
      <c r="D23" s="10">
        <v>0</v>
      </c>
      <c r="E23" s="10">
        <v>0</v>
      </c>
      <c r="F23" s="10">
        <v>639.12</v>
      </c>
      <c r="G23" s="42">
        <v>0</v>
      </c>
      <c r="H23" s="42">
        <v>215</v>
      </c>
      <c r="I23" s="42">
        <v>750</v>
      </c>
    </row>
    <row r="24" spans="1:9" x14ac:dyDescent="0.2">
      <c r="A24" t="s">
        <v>48</v>
      </c>
      <c r="B24" t="s">
        <v>49</v>
      </c>
      <c r="C24" s="10">
        <v>1500</v>
      </c>
      <c r="D24" s="10">
        <v>1600.53</v>
      </c>
      <c r="E24" s="10">
        <v>1500</v>
      </c>
      <c r="F24" s="10">
        <v>970.78</v>
      </c>
      <c r="G24" s="42">
        <v>1121.68</v>
      </c>
      <c r="H24" s="42">
        <v>823</v>
      </c>
      <c r="I24" s="42">
        <v>1514</v>
      </c>
    </row>
    <row r="25" spans="1:9" x14ac:dyDescent="0.2">
      <c r="A25" t="s">
        <v>180</v>
      </c>
      <c r="C25" s="10"/>
      <c r="D25" s="10"/>
      <c r="E25" s="10"/>
      <c r="F25" s="10"/>
      <c r="G25" s="42"/>
      <c r="H25" s="42"/>
      <c r="I25" s="42"/>
    </row>
    <row r="26" spans="1:9" x14ac:dyDescent="0.2">
      <c r="A26" t="s">
        <v>181</v>
      </c>
      <c r="B26" t="s">
        <v>182</v>
      </c>
      <c r="C26" s="10">
        <v>1100</v>
      </c>
      <c r="D26" s="10">
        <v>864.29</v>
      </c>
      <c r="E26" s="10">
        <v>1100</v>
      </c>
      <c r="F26" s="10">
        <v>622.46</v>
      </c>
      <c r="G26" s="42">
        <v>850.89</v>
      </c>
      <c r="H26" s="42">
        <v>331</v>
      </c>
      <c r="I26" s="42">
        <v>111</v>
      </c>
    </row>
    <row r="27" spans="1:9" x14ac:dyDescent="0.2">
      <c r="A27" s="13" t="s">
        <v>607</v>
      </c>
      <c r="B27" t="s">
        <v>614</v>
      </c>
      <c r="C27" s="10">
        <v>0</v>
      </c>
      <c r="D27" s="10">
        <v>0</v>
      </c>
      <c r="E27" s="10">
        <v>0</v>
      </c>
      <c r="F27" s="10">
        <v>68.959999999999994</v>
      </c>
      <c r="G27" s="42">
        <v>592.96</v>
      </c>
      <c r="H27" s="42">
        <v>561</v>
      </c>
      <c r="I27" s="42">
        <v>63</v>
      </c>
    </row>
    <row r="28" spans="1:9" x14ac:dyDescent="0.2">
      <c r="A28" t="s">
        <v>23</v>
      </c>
      <c r="C28" s="10"/>
      <c r="D28" s="10"/>
      <c r="E28" s="10"/>
      <c r="F28" s="10"/>
      <c r="G28" s="42"/>
      <c r="H28" s="42"/>
      <c r="I28" s="42"/>
    </row>
    <row r="29" spans="1:9" x14ac:dyDescent="0.2">
      <c r="A29" s="13" t="s">
        <v>608</v>
      </c>
      <c r="B29" t="s">
        <v>171</v>
      </c>
      <c r="C29" s="10">
        <v>0</v>
      </c>
      <c r="D29" s="10">
        <v>148.29</v>
      </c>
      <c r="E29" s="10">
        <v>0</v>
      </c>
      <c r="F29" s="10">
        <v>11.16</v>
      </c>
      <c r="G29" s="42">
        <v>23.47</v>
      </c>
      <c r="H29" s="42">
        <v>0</v>
      </c>
      <c r="I29" s="42">
        <v>0</v>
      </c>
    </row>
    <row r="30" spans="1:9" x14ac:dyDescent="0.2">
      <c r="A30" t="s">
        <v>173</v>
      </c>
      <c r="B30" t="s">
        <v>174</v>
      </c>
      <c r="C30" s="10">
        <v>500</v>
      </c>
      <c r="D30" s="10">
        <v>59.71</v>
      </c>
      <c r="E30" s="10">
        <v>500</v>
      </c>
      <c r="F30" s="10">
        <v>104.38</v>
      </c>
      <c r="G30" s="41">
        <v>89.73</v>
      </c>
      <c r="H30" s="41">
        <v>45</v>
      </c>
      <c r="I30" s="41">
        <v>0</v>
      </c>
    </row>
    <row r="31" spans="1:9" x14ac:dyDescent="0.2">
      <c r="A31" s="13" t="s">
        <v>642</v>
      </c>
      <c r="B31" s="13" t="s">
        <v>643</v>
      </c>
      <c r="C31" s="10">
        <v>0</v>
      </c>
      <c r="D31" s="10">
        <v>0</v>
      </c>
      <c r="E31" s="10">
        <v>500</v>
      </c>
      <c r="F31" s="10">
        <v>326.66000000000003</v>
      </c>
      <c r="G31" s="42">
        <v>805.64</v>
      </c>
      <c r="H31" s="42">
        <v>0</v>
      </c>
      <c r="I31" s="42">
        <v>0</v>
      </c>
    </row>
    <row r="32" spans="1:9" x14ac:dyDescent="0.2">
      <c r="A32" s="29" t="s">
        <v>765</v>
      </c>
      <c r="B32" s="29" t="s">
        <v>764</v>
      </c>
      <c r="C32" s="10">
        <v>0</v>
      </c>
      <c r="D32" s="10">
        <v>0</v>
      </c>
      <c r="E32" s="10">
        <v>0</v>
      </c>
      <c r="F32" s="10">
        <v>0</v>
      </c>
      <c r="G32" s="42">
        <v>0</v>
      </c>
      <c r="H32" s="42">
        <v>268</v>
      </c>
      <c r="I32" s="42">
        <v>7</v>
      </c>
    </row>
    <row r="33" spans="1:9" x14ac:dyDescent="0.2">
      <c r="A33" t="s">
        <v>6</v>
      </c>
      <c r="C33" s="10"/>
      <c r="D33" s="10"/>
      <c r="E33" s="10"/>
      <c r="F33" s="10"/>
      <c r="G33" s="42"/>
      <c r="H33" s="42"/>
      <c r="I33" s="42"/>
    </row>
    <row r="34" spans="1:9" x14ac:dyDescent="0.2">
      <c r="A34" t="s">
        <v>7</v>
      </c>
      <c r="B34" t="s">
        <v>8</v>
      </c>
      <c r="C34" s="10">
        <v>15000</v>
      </c>
      <c r="D34" s="10">
        <v>6821.2</v>
      </c>
      <c r="E34" s="10">
        <v>2750</v>
      </c>
      <c r="F34" s="10">
        <v>2702</v>
      </c>
      <c r="G34" s="42">
        <v>2626</v>
      </c>
      <c r="H34" s="42">
        <v>2626</v>
      </c>
      <c r="I34" s="42">
        <v>2582</v>
      </c>
    </row>
    <row r="35" spans="1:9" x14ac:dyDescent="0.2">
      <c r="A35" t="s">
        <v>9</v>
      </c>
      <c r="B35" t="s">
        <v>10</v>
      </c>
      <c r="C35" s="10">
        <v>8000</v>
      </c>
      <c r="D35" s="10">
        <v>3325.61</v>
      </c>
      <c r="E35" s="10">
        <v>5791.61</v>
      </c>
      <c r="F35" s="10">
        <v>0</v>
      </c>
      <c r="G35" s="42">
        <v>0</v>
      </c>
      <c r="H35" s="42">
        <v>62</v>
      </c>
      <c r="I35" s="42">
        <v>221</v>
      </c>
    </row>
    <row r="36" spans="1:9" x14ac:dyDescent="0.2">
      <c r="A36" t="s">
        <v>11</v>
      </c>
      <c r="B36" t="s">
        <v>12</v>
      </c>
      <c r="C36" s="10">
        <v>11000</v>
      </c>
      <c r="D36" s="10">
        <v>7403.5</v>
      </c>
      <c r="E36" s="10">
        <v>11000</v>
      </c>
      <c r="F36" s="10">
        <v>0</v>
      </c>
      <c r="G36" s="42">
        <v>19269</v>
      </c>
      <c r="H36" s="42">
        <v>7733</v>
      </c>
      <c r="I36" s="42">
        <v>10508</v>
      </c>
    </row>
    <row r="37" spans="1:9" x14ac:dyDescent="0.2">
      <c r="A37" t="s">
        <v>13</v>
      </c>
      <c r="B37" t="s">
        <v>14</v>
      </c>
      <c r="C37" s="10">
        <v>5000</v>
      </c>
      <c r="D37" s="10">
        <v>6606.31</v>
      </c>
      <c r="E37" s="10">
        <v>5000</v>
      </c>
      <c r="F37" s="10">
        <v>450</v>
      </c>
      <c r="G37" s="42">
        <v>450</v>
      </c>
      <c r="H37" s="42">
        <v>0</v>
      </c>
      <c r="I37" s="42">
        <v>1236</v>
      </c>
    </row>
    <row r="38" spans="1:9" x14ac:dyDescent="0.2">
      <c r="A38" t="s">
        <v>16</v>
      </c>
      <c r="B38" t="s">
        <v>1020</v>
      </c>
      <c r="C38" s="129">
        <v>2000</v>
      </c>
      <c r="D38" s="10">
        <v>616.04999999999995</v>
      </c>
      <c r="E38" s="10">
        <v>3000</v>
      </c>
      <c r="F38" s="10">
        <v>1319.24</v>
      </c>
      <c r="G38" s="42">
        <v>1209.21</v>
      </c>
      <c r="H38" s="42">
        <v>6184</v>
      </c>
      <c r="I38" s="42">
        <v>1687</v>
      </c>
    </row>
    <row r="39" spans="1:9" x14ac:dyDescent="0.2">
      <c r="A39" t="s">
        <v>5</v>
      </c>
      <c r="C39" s="10"/>
      <c r="D39" s="10"/>
      <c r="E39" s="10"/>
      <c r="F39" s="10"/>
      <c r="G39" s="42"/>
      <c r="H39" s="42"/>
      <c r="I39" s="42"/>
    </row>
    <row r="40" spans="1:9" x14ac:dyDescent="0.2">
      <c r="A40" t="s">
        <v>114</v>
      </c>
      <c r="B40" t="s">
        <v>100</v>
      </c>
      <c r="C40" s="10">
        <v>4500</v>
      </c>
      <c r="D40" s="10">
        <v>2914.07</v>
      </c>
      <c r="E40" s="10">
        <v>4500</v>
      </c>
      <c r="F40" s="10">
        <v>4475.41</v>
      </c>
      <c r="G40" s="42">
        <v>4756.76</v>
      </c>
      <c r="H40" s="42">
        <v>4177</v>
      </c>
      <c r="I40" s="42">
        <v>4514</v>
      </c>
    </row>
    <row r="41" spans="1:9" x14ac:dyDescent="0.2">
      <c r="A41" t="s">
        <v>115</v>
      </c>
      <c r="B41" t="s">
        <v>101</v>
      </c>
      <c r="C41" s="10">
        <v>100</v>
      </c>
      <c r="D41" s="10">
        <v>21.84</v>
      </c>
      <c r="E41" s="10">
        <v>100</v>
      </c>
      <c r="F41" s="10">
        <v>15.6</v>
      </c>
      <c r="G41" s="42">
        <v>6.54</v>
      </c>
      <c r="H41" s="42">
        <v>990</v>
      </c>
      <c r="I41" s="42">
        <v>1247</v>
      </c>
    </row>
    <row r="42" spans="1:9" x14ac:dyDescent="0.2">
      <c r="A42" t="s">
        <v>165</v>
      </c>
      <c r="C42" s="10"/>
      <c r="D42" s="10"/>
      <c r="E42" s="10"/>
      <c r="F42" s="10"/>
      <c r="G42" s="42"/>
      <c r="H42" s="42"/>
      <c r="I42" s="42"/>
    </row>
    <row r="43" spans="1:9" x14ac:dyDescent="0.2">
      <c r="A43" t="s">
        <v>166</v>
      </c>
      <c r="B43" t="s">
        <v>167</v>
      </c>
      <c r="C43" s="10">
        <v>0</v>
      </c>
      <c r="D43" s="10">
        <v>0</v>
      </c>
      <c r="E43" s="10">
        <v>0</v>
      </c>
      <c r="F43" s="10">
        <v>378.4</v>
      </c>
      <c r="G43" s="42">
        <v>451.37</v>
      </c>
      <c r="H43" s="42">
        <f>283+11</f>
        <v>294</v>
      </c>
      <c r="I43" s="42">
        <v>534</v>
      </c>
    </row>
    <row r="44" spans="1:9" x14ac:dyDescent="0.2">
      <c r="A44" t="s">
        <v>159</v>
      </c>
      <c r="C44" s="10"/>
      <c r="D44" s="10"/>
      <c r="E44" s="10"/>
      <c r="F44" s="10"/>
      <c r="G44" s="42"/>
      <c r="H44" s="42"/>
      <c r="I44" s="42"/>
    </row>
    <row r="45" spans="1:9" x14ac:dyDescent="0.2">
      <c r="A45" t="s">
        <v>584</v>
      </c>
      <c r="B45" t="s">
        <v>163</v>
      </c>
      <c r="C45" s="10">
        <v>1500</v>
      </c>
      <c r="D45" s="10">
        <v>829.88</v>
      </c>
      <c r="E45" s="10">
        <v>400</v>
      </c>
      <c r="F45" s="10">
        <v>253.7</v>
      </c>
      <c r="G45" s="42">
        <v>0</v>
      </c>
      <c r="H45" s="42">
        <v>310</v>
      </c>
      <c r="I45" s="42">
        <v>516</v>
      </c>
    </row>
    <row r="46" spans="1:9" x14ac:dyDescent="0.2">
      <c r="A46" t="s">
        <v>153</v>
      </c>
      <c r="C46" s="10"/>
      <c r="D46" s="10"/>
      <c r="E46" s="10"/>
      <c r="F46" s="10"/>
      <c r="G46" s="42"/>
      <c r="H46" s="42"/>
      <c r="I46" s="42"/>
    </row>
    <row r="47" spans="1:9" x14ac:dyDescent="0.2">
      <c r="A47" t="s">
        <v>152</v>
      </c>
      <c r="B47" t="s">
        <v>154</v>
      </c>
      <c r="C47" s="10">
        <v>2000</v>
      </c>
      <c r="D47" s="10">
        <v>1296.99</v>
      </c>
      <c r="E47" s="10">
        <v>2500</v>
      </c>
      <c r="F47" s="10">
        <v>2101.31</v>
      </c>
      <c r="G47" s="42">
        <v>2007.48</v>
      </c>
      <c r="H47" s="42">
        <v>2603</v>
      </c>
      <c r="I47" s="42">
        <v>2514</v>
      </c>
    </row>
    <row r="48" spans="1:9" x14ac:dyDescent="0.2">
      <c r="A48" t="s">
        <v>155</v>
      </c>
      <c r="B48" t="s">
        <v>156</v>
      </c>
      <c r="C48" s="10">
        <v>0</v>
      </c>
      <c r="D48" s="10">
        <v>0</v>
      </c>
      <c r="E48" s="10">
        <v>0</v>
      </c>
      <c r="F48" s="10">
        <v>0</v>
      </c>
      <c r="G48" s="42">
        <v>0</v>
      </c>
      <c r="H48" s="42">
        <v>356</v>
      </c>
      <c r="I48" s="42">
        <v>187</v>
      </c>
    </row>
    <row r="49" spans="1:9" x14ac:dyDescent="0.2">
      <c r="A49" t="s">
        <v>157</v>
      </c>
      <c r="B49" t="s">
        <v>158</v>
      </c>
      <c r="C49" s="10">
        <v>0</v>
      </c>
      <c r="D49" s="10">
        <v>0</v>
      </c>
      <c r="E49" s="10">
        <v>0</v>
      </c>
      <c r="F49" s="10">
        <v>25.38</v>
      </c>
      <c r="G49" s="42">
        <v>0</v>
      </c>
      <c r="H49" s="42">
        <v>56</v>
      </c>
      <c r="I49" s="42">
        <v>68</v>
      </c>
    </row>
    <row r="50" spans="1:9" x14ac:dyDescent="0.2">
      <c r="A50" t="s">
        <v>146</v>
      </c>
      <c r="C50" s="10"/>
      <c r="D50" s="10"/>
      <c r="E50" s="10"/>
      <c r="F50" s="10"/>
      <c r="G50" s="42"/>
      <c r="H50" s="42"/>
      <c r="I50" s="42"/>
    </row>
    <row r="51" spans="1:9" x14ac:dyDescent="0.2">
      <c r="A51" t="s">
        <v>116</v>
      </c>
      <c r="B51" t="s">
        <v>96</v>
      </c>
      <c r="C51" s="10">
        <v>20000</v>
      </c>
      <c r="D51" s="10">
        <v>19254</v>
      </c>
      <c r="E51" s="10">
        <v>18000</v>
      </c>
      <c r="F51" s="10">
        <v>7065.1</v>
      </c>
      <c r="G51" s="41">
        <v>7583.45</v>
      </c>
      <c r="H51" s="41">
        <v>5266</v>
      </c>
      <c r="I51" s="41">
        <v>7035</v>
      </c>
    </row>
    <row r="52" spans="1:9" x14ac:dyDescent="0.2">
      <c r="A52" t="s">
        <v>147</v>
      </c>
      <c r="B52" t="s">
        <v>149</v>
      </c>
      <c r="C52" s="10">
        <v>20000</v>
      </c>
      <c r="D52" s="10">
        <v>18626.5</v>
      </c>
      <c r="E52" s="10">
        <v>32000</v>
      </c>
      <c r="F52" s="10">
        <v>365</v>
      </c>
      <c r="G52" s="41">
        <v>366</v>
      </c>
      <c r="H52" s="41">
        <v>259</v>
      </c>
      <c r="I52" s="41">
        <v>298</v>
      </c>
    </row>
    <row r="53" spans="1:9" x14ac:dyDescent="0.2">
      <c r="A53" t="s">
        <v>148</v>
      </c>
      <c r="B53" t="s">
        <v>150</v>
      </c>
      <c r="C53" s="10">
        <v>0</v>
      </c>
      <c r="D53" s="10">
        <v>0</v>
      </c>
      <c r="E53" s="10">
        <v>0</v>
      </c>
      <c r="F53" s="10">
        <v>0</v>
      </c>
      <c r="G53" s="41">
        <v>0</v>
      </c>
      <c r="H53" s="41">
        <v>0</v>
      </c>
      <c r="I53" s="41">
        <f>309*103%</f>
        <v>318.27</v>
      </c>
    </row>
    <row r="54" spans="1:9" x14ac:dyDescent="0.2">
      <c r="A54" t="s">
        <v>138</v>
      </c>
      <c r="C54" s="10"/>
      <c r="D54" s="10"/>
      <c r="E54" s="10"/>
      <c r="F54" s="10"/>
      <c r="G54" s="42"/>
      <c r="H54" s="42"/>
      <c r="I54" s="42"/>
    </row>
    <row r="55" spans="1:9" x14ac:dyDescent="0.2">
      <c r="A55" t="s">
        <v>144</v>
      </c>
      <c r="B55" t="s">
        <v>139</v>
      </c>
      <c r="C55" s="10">
        <v>2000</v>
      </c>
      <c r="D55" s="10">
        <v>1452.03</v>
      </c>
      <c r="E55" s="10">
        <v>2000</v>
      </c>
      <c r="F55" s="10">
        <v>1902.72</v>
      </c>
      <c r="G55" s="41">
        <v>1801.09</v>
      </c>
      <c r="H55" s="41">
        <v>1638</v>
      </c>
      <c r="I55" s="41">
        <v>1653</v>
      </c>
    </row>
    <row r="56" spans="1:9" x14ac:dyDescent="0.2">
      <c r="A56" t="s">
        <v>145</v>
      </c>
      <c r="B56" t="s">
        <v>141</v>
      </c>
      <c r="C56" s="10">
        <v>0</v>
      </c>
      <c r="D56" s="10">
        <v>0</v>
      </c>
      <c r="E56" s="10">
        <v>0</v>
      </c>
      <c r="F56" s="10">
        <v>0</v>
      </c>
      <c r="G56" s="42">
        <v>303.47000000000003</v>
      </c>
      <c r="H56" s="42">
        <v>1513</v>
      </c>
      <c r="I56" s="42">
        <v>1581</v>
      </c>
    </row>
    <row r="57" spans="1:9" x14ac:dyDescent="0.2">
      <c r="A57" s="13" t="s">
        <v>609</v>
      </c>
      <c r="B57" s="13" t="s">
        <v>142</v>
      </c>
      <c r="C57" s="10">
        <v>1500</v>
      </c>
      <c r="D57" s="10">
        <v>1037.49</v>
      </c>
      <c r="E57" s="10">
        <v>1500</v>
      </c>
      <c r="F57" s="10">
        <v>1081.55</v>
      </c>
      <c r="G57" s="42">
        <v>1260.29</v>
      </c>
      <c r="H57" s="42">
        <v>1823</v>
      </c>
      <c r="I57" s="42">
        <v>902</v>
      </c>
    </row>
    <row r="58" spans="1:9" x14ac:dyDescent="0.2">
      <c r="A58" t="s">
        <v>587</v>
      </c>
      <c r="C58" s="10"/>
      <c r="D58" s="10"/>
      <c r="E58" s="10"/>
      <c r="F58" s="10"/>
      <c r="G58" s="42"/>
      <c r="H58" s="42"/>
      <c r="I58" s="42"/>
    </row>
    <row r="59" spans="1:9" x14ac:dyDescent="0.2">
      <c r="A59" s="13" t="s">
        <v>610</v>
      </c>
      <c r="B59" s="13" t="s">
        <v>611</v>
      </c>
      <c r="C59" s="10">
        <v>0</v>
      </c>
      <c r="D59" s="10">
        <v>1975.99</v>
      </c>
      <c r="E59" s="10">
        <v>2000</v>
      </c>
      <c r="F59" s="10">
        <v>0</v>
      </c>
      <c r="G59" s="42">
        <v>0</v>
      </c>
      <c r="H59" s="42">
        <v>0</v>
      </c>
      <c r="I59" s="42">
        <v>2400</v>
      </c>
    </row>
    <row r="60" spans="1:9" x14ac:dyDescent="0.2">
      <c r="A60" t="s">
        <v>132</v>
      </c>
      <c r="C60" s="10"/>
      <c r="D60" s="10"/>
      <c r="E60" s="10"/>
      <c r="F60" s="10"/>
      <c r="G60" s="42"/>
      <c r="H60" s="42"/>
      <c r="I60" s="42"/>
    </row>
    <row r="61" spans="1:9" x14ac:dyDescent="0.2">
      <c r="A61" s="13" t="s">
        <v>612</v>
      </c>
      <c r="B61" t="s">
        <v>133</v>
      </c>
      <c r="C61" s="10">
        <v>2500</v>
      </c>
      <c r="D61" s="10">
        <v>-90</v>
      </c>
      <c r="E61" s="10">
        <v>2500</v>
      </c>
      <c r="F61" s="10">
        <v>15341</v>
      </c>
      <c r="G61" s="42">
        <v>249.99</v>
      </c>
      <c r="H61" s="42">
        <v>5040</v>
      </c>
      <c r="I61" s="42">
        <v>0</v>
      </c>
    </row>
    <row r="62" spans="1:9" x14ac:dyDescent="0.2">
      <c r="A62" t="s">
        <v>137</v>
      </c>
      <c r="B62" t="s">
        <v>135</v>
      </c>
      <c r="C62" s="10">
        <v>0</v>
      </c>
      <c r="D62" s="10">
        <v>0</v>
      </c>
      <c r="E62" s="10">
        <v>0</v>
      </c>
      <c r="F62" s="10">
        <v>0</v>
      </c>
      <c r="G62" s="42">
        <v>0</v>
      </c>
      <c r="H62" s="42">
        <v>775</v>
      </c>
      <c r="I62" s="42">
        <v>0</v>
      </c>
    </row>
    <row r="63" spans="1:9" x14ac:dyDescent="0.2">
      <c r="A63" t="s">
        <v>127</v>
      </c>
      <c r="C63" s="10"/>
      <c r="D63" s="10"/>
      <c r="E63" s="10"/>
      <c r="F63" s="10"/>
      <c r="G63" s="42"/>
      <c r="H63" s="42"/>
      <c r="I63" s="42"/>
    </row>
    <row r="64" spans="1:9" x14ac:dyDescent="0.2">
      <c r="A64" t="s">
        <v>131</v>
      </c>
      <c r="B64" t="s">
        <v>128</v>
      </c>
      <c r="C64" s="10">
        <v>1000</v>
      </c>
      <c r="D64" s="10">
        <v>1715.34</v>
      </c>
      <c r="E64" s="10">
        <v>1300</v>
      </c>
      <c r="F64" s="10">
        <v>989.01</v>
      </c>
      <c r="G64" s="42">
        <v>519.05999999999995</v>
      </c>
      <c r="H64" s="42">
        <f>624+50</f>
        <v>674</v>
      </c>
      <c r="I64" s="42">
        <v>2188</v>
      </c>
    </row>
    <row r="65" spans="1:9" x14ac:dyDescent="0.2">
      <c r="A65" t="s">
        <v>125</v>
      </c>
      <c r="C65" s="10"/>
      <c r="D65" s="10"/>
      <c r="E65" s="10"/>
      <c r="F65" s="10"/>
      <c r="G65" s="42"/>
      <c r="H65" s="42"/>
      <c r="I65" s="42"/>
    </row>
    <row r="66" spans="1:9" x14ac:dyDescent="0.2">
      <c r="A66" t="s">
        <v>120</v>
      </c>
      <c r="C66" s="10"/>
      <c r="D66" s="10"/>
      <c r="E66" s="10"/>
      <c r="F66" s="10"/>
      <c r="G66" s="42"/>
      <c r="H66" s="42"/>
      <c r="I66" s="42"/>
    </row>
    <row r="67" spans="1:9" x14ac:dyDescent="0.2">
      <c r="A67" t="s">
        <v>117</v>
      </c>
      <c r="B67" t="s">
        <v>104</v>
      </c>
      <c r="C67" s="10">
        <v>3000</v>
      </c>
      <c r="D67" s="10">
        <v>2483.94</v>
      </c>
      <c r="E67" s="10">
        <v>4000</v>
      </c>
      <c r="F67" s="10">
        <v>2395.87</v>
      </c>
      <c r="G67" s="42">
        <v>2255.4899999999998</v>
      </c>
      <c r="H67" s="42">
        <v>4877</v>
      </c>
      <c r="I67" s="42">
        <v>2146</v>
      </c>
    </row>
    <row r="68" spans="1:9" x14ac:dyDescent="0.2">
      <c r="A68" t="s">
        <v>118</v>
      </c>
      <c r="B68" t="s">
        <v>102</v>
      </c>
      <c r="C68" s="10">
        <v>2000</v>
      </c>
      <c r="D68" s="10">
        <v>1050.72</v>
      </c>
      <c r="E68" s="10">
        <v>2000</v>
      </c>
      <c r="F68" s="10">
        <v>1608</v>
      </c>
      <c r="G68" s="42">
        <v>1209.1300000000001</v>
      </c>
      <c r="H68" s="42">
        <v>1562</v>
      </c>
      <c r="I68" s="42">
        <v>1130</v>
      </c>
    </row>
    <row r="69" spans="1:9" x14ac:dyDescent="0.2">
      <c r="A69" t="s">
        <v>119</v>
      </c>
      <c r="B69" t="s">
        <v>121</v>
      </c>
      <c r="C69" s="10">
        <v>0</v>
      </c>
      <c r="D69" s="10">
        <v>0</v>
      </c>
      <c r="E69" s="10">
        <v>0</v>
      </c>
      <c r="F69" s="10">
        <v>0</v>
      </c>
      <c r="G69" s="42">
        <v>25.51</v>
      </c>
      <c r="H69" s="42">
        <v>165</v>
      </c>
      <c r="I69" s="42">
        <v>0</v>
      </c>
    </row>
    <row r="70" spans="1:9" x14ac:dyDescent="0.2">
      <c r="B70" s="33"/>
      <c r="C70" s="10"/>
      <c r="D70" s="10"/>
      <c r="E70" s="10"/>
      <c r="F70" s="10"/>
      <c r="G70" s="42"/>
      <c r="H70" s="42"/>
      <c r="I70" s="42"/>
    </row>
    <row r="71" spans="1:9" x14ac:dyDescent="0.2">
      <c r="B71" s="33"/>
      <c r="C71" s="10"/>
      <c r="D71" s="10"/>
      <c r="E71" s="10"/>
      <c r="F71" s="10"/>
      <c r="G71" s="42"/>
      <c r="H71" s="42"/>
      <c r="I71" s="42"/>
    </row>
    <row r="72" spans="1:9" x14ac:dyDescent="0.2">
      <c r="B72" s="33"/>
      <c r="C72" s="10"/>
      <c r="D72" s="10"/>
      <c r="E72" s="10"/>
      <c r="F72" s="10"/>
      <c r="G72" s="42"/>
      <c r="H72" s="42"/>
      <c r="I72" s="42"/>
    </row>
    <row r="73" spans="1:9" x14ac:dyDescent="0.2">
      <c r="B73" s="33"/>
      <c r="C73" s="10"/>
      <c r="D73" s="10"/>
      <c r="E73" s="10"/>
      <c r="F73" s="10"/>
      <c r="G73" s="42"/>
      <c r="H73" s="42"/>
      <c r="I73" s="42"/>
    </row>
    <row r="74" spans="1:9" x14ac:dyDescent="0.2">
      <c r="C74" s="10"/>
      <c r="D74" s="10"/>
      <c r="E74" s="10"/>
      <c r="F74" s="10"/>
      <c r="G74" s="42"/>
      <c r="H74" s="42"/>
      <c r="I74" s="42"/>
    </row>
    <row r="75" spans="1:9" x14ac:dyDescent="0.2">
      <c r="A75" s="36"/>
      <c r="B75" s="26" t="s">
        <v>65</v>
      </c>
      <c r="C75" s="10">
        <f>SUM(C4:C71)</f>
        <v>238207.88400000002</v>
      </c>
      <c r="D75" s="10">
        <f>SUM(D4:D72)</f>
        <v>182447.04999999996</v>
      </c>
      <c r="E75" s="10">
        <f>SUM(E4:E74)</f>
        <v>232450.49699999997</v>
      </c>
      <c r="F75" s="10">
        <f>SUM(F4:F69)</f>
        <v>114726.49000000003</v>
      </c>
      <c r="G75" s="41">
        <f t="shared" ref="G75:I75" si="0">SUM(G4:G74)</f>
        <v>123665.69999999998</v>
      </c>
      <c r="H75" s="41">
        <f t="shared" si="0"/>
        <v>144894.29999999999</v>
      </c>
      <c r="I75" s="41">
        <f t="shared" si="0"/>
        <v>148303.26999999999</v>
      </c>
    </row>
    <row r="76" spans="1:9" x14ac:dyDescent="0.2">
      <c r="A76" s="43"/>
      <c r="I76" s="36"/>
    </row>
    <row r="77" spans="1:9" x14ac:dyDescent="0.2">
      <c r="A77" s="36"/>
      <c r="I77" s="36"/>
    </row>
    <row r="78" spans="1:9" x14ac:dyDescent="0.2">
      <c r="A78" t="s">
        <v>948</v>
      </c>
    </row>
    <row r="79" spans="1:9" x14ac:dyDescent="0.2">
      <c r="A79" t="s">
        <v>949</v>
      </c>
    </row>
    <row r="80" spans="1:9" x14ac:dyDescent="0.2">
      <c r="A80" s="29" t="s">
        <v>1011</v>
      </c>
    </row>
    <row r="83" spans="1:1" x14ac:dyDescent="0.2">
      <c r="A83" s="29"/>
    </row>
  </sheetData>
  <phoneticPr fontId="2" type="noConversion"/>
  <pageMargins left="0.25" right="0.25" top="0.75" bottom="0.75" header="0.3" footer="0.3"/>
  <pageSetup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7"/>
  <sheetViews>
    <sheetView topLeftCell="A40" workbookViewId="0">
      <selection activeCell="E19" sqref="E19"/>
    </sheetView>
  </sheetViews>
  <sheetFormatPr defaultRowHeight="12.75" x14ac:dyDescent="0.2"/>
  <cols>
    <col min="1" max="1" width="18.28515625" customWidth="1"/>
    <col min="2" max="2" width="27.42578125" customWidth="1"/>
    <col min="3" max="3" width="5.7109375" customWidth="1"/>
    <col min="4" max="4" width="11.28515625" bestFit="1" customWidth="1"/>
    <col min="5" max="5" width="11.7109375" customWidth="1"/>
    <col min="6" max="6" width="12.28515625" bestFit="1" customWidth="1"/>
    <col min="7" max="7" width="12.28515625" customWidth="1"/>
    <col min="8" max="10" width="10.7109375" customWidth="1"/>
  </cols>
  <sheetData>
    <row r="1" spans="1:10" ht="15.75" x14ac:dyDescent="0.25">
      <c r="B1" s="14" t="s">
        <v>0</v>
      </c>
      <c r="C1" s="14"/>
      <c r="D1" s="1">
        <v>2015</v>
      </c>
      <c r="E1" s="51">
        <v>2014</v>
      </c>
      <c r="F1" s="51">
        <v>2014</v>
      </c>
      <c r="G1" s="51">
        <v>2013</v>
      </c>
      <c r="H1" s="51">
        <v>2012</v>
      </c>
      <c r="I1" s="51">
        <v>2011</v>
      </c>
      <c r="J1" s="17">
        <v>2010</v>
      </c>
    </row>
    <row r="2" spans="1:10" x14ac:dyDescent="0.2">
      <c r="A2" t="s">
        <v>89</v>
      </c>
      <c r="D2" s="1" t="s">
        <v>596</v>
      </c>
      <c r="E2" s="51" t="s">
        <v>1076</v>
      </c>
      <c r="F2" s="51" t="s">
        <v>596</v>
      </c>
      <c r="G2" s="51" t="s">
        <v>1002</v>
      </c>
      <c r="H2" s="51" t="s">
        <v>597</v>
      </c>
      <c r="I2" s="51" t="s">
        <v>597</v>
      </c>
      <c r="J2" s="51" t="s">
        <v>597</v>
      </c>
    </row>
    <row r="3" spans="1:10" x14ac:dyDescent="0.2">
      <c r="A3" t="s">
        <v>223</v>
      </c>
    </row>
    <row r="4" spans="1:10" x14ac:dyDescent="0.2">
      <c r="A4" t="s">
        <v>60</v>
      </c>
      <c r="B4" t="s">
        <v>109</v>
      </c>
      <c r="D4" s="10">
        <f>64260+33550.4</f>
        <v>97810.4</v>
      </c>
      <c r="E4" s="10">
        <v>77042.880000000005</v>
      </c>
      <c r="F4" s="10">
        <v>95864</v>
      </c>
      <c r="G4" s="10">
        <v>80813.649999999994</v>
      </c>
      <c r="H4" s="41">
        <v>55856.639999999999</v>
      </c>
      <c r="I4" s="41">
        <v>91317</v>
      </c>
      <c r="J4" s="41">
        <v>90064</v>
      </c>
    </row>
    <row r="5" spans="1:10" x14ac:dyDescent="0.2">
      <c r="A5" t="s">
        <v>61</v>
      </c>
      <c r="B5" t="s">
        <v>110</v>
      </c>
      <c r="D5" s="10">
        <v>2500</v>
      </c>
      <c r="E5" s="10">
        <v>1487.18</v>
      </c>
      <c r="F5" s="10">
        <v>2500</v>
      </c>
      <c r="G5" s="10">
        <v>900.37</v>
      </c>
      <c r="H5" s="42">
        <v>0</v>
      </c>
      <c r="I5" s="42">
        <v>2186</v>
      </c>
      <c r="J5" s="42">
        <v>3173</v>
      </c>
    </row>
    <row r="6" spans="1:10" x14ac:dyDescent="0.2">
      <c r="A6" t="s">
        <v>236</v>
      </c>
      <c r="B6" t="s">
        <v>54</v>
      </c>
      <c r="D6" s="10">
        <v>26000</v>
      </c>
      <c r="E6" s="10">
        <v>15479.85</v>
      </c>
      <c r="F6" s="10">
        <f>15600+4500</f>
        <v>20100</v>
      </c>
      <c r="G6" s="10">
        <f>19030.4+610</f>
        <v>19640.400000000001</v>
      </c>
      <c r="H6" s="42">
        <v>13074.21</v>
      </c>
      <c r="I6" s="42">
        <v>11245</v>
      </c>
      <c r="J6" s="42">
        <v>11502</v>
      </c>
    </row>
    <row r="7" spans="1:10" x14ac:dyDescent="0.2">
      <c r="A7" t="s">
        <v>219</v>
      </c>
      <c r="D7" s="10"/>
      <c r="E7" s="10"/>
      <c r="F7" s="10"/>
      <c r="G7" s="10"/>
      <c r="H7" s="42"/>
      <c r="I7" s="42"/>
      <c r="J7" s="42"/>
    </row>
    <row r="8" spans="1:10" x14ac:dyDescent="0.2">
      <c r="A8" t="s">
        <v>237</v>
      </c>
      <c r="B8" t="s">
        <v>221</v>
      </c>
      <c r="D8" s="10">
        <f>0.075*15600</f>
        <v>1170</v>
      </c>
      <c r="E8" s="10">
        <v>948.55</v>
      </c>
      <c r="F8" s="10">
        <f>0.0725*15600</f>
        <v>1131</v>
      </c>
      <c r="G8" s="10">
        <v>1263.02</v>
      </c>
      <c r="H8" s="41">
        <v>947.86</v>
      </c>
      <c r="I8" s="41">
        <v>815</v>
      </c>
      <c r="J8" s="41">
        <f>0.07*J6</f>
        <v>805.1400000000001</v>
      </c>
    </row>
    <row r="9" spans="1:10" x14ac:dyDescent="0.2">
      <c r="A9" t="s">
        <v>238</v>
      </c>
      <c r="B9" t="s">
        <v>92</v>
      </c>
      <c r="D9" s="10">
        <f>0.062*15600</f>
        <v>967.2</v>
      </c>
      <c r="E9" s="10">
        <v>850.55</v>
      </c>
      <c r="F9" s="10">
        <f>0.062*15600</f>
        <v>967.2</v>
      </c>
      <c r="G9" s="10">
        <v>1082.8699999999999</v>
      </c>
      <c r="H9" s="41">
        <v>810.54</v>
      </c>
      <c r="I9" s="41">
        <f>0.062*SUM(I6)</f>
        <v>697.18999999999994</v>
      </c>
      <c r="J9" s="41">
        <v>713</v>
      </c>
    </row>
    <row r="10" spans="1:10" x14ac:dyDescent="0.2">
      <c r="A10" t="s">
        <v>239</v>
      </c>
      <c r="B10" t="s">
        <v>94</v>
      </c>
      <c r="D10" s="10">
        <f>0.0145*15600</f>
        <v>226.20000000000002</v>
      </c>
      <c r="E10" s="10">
        <v>1436.28</v>
      </c>
      <c r="F10" s="10">
        <f>0.0145*SUM(F4:F6)</f>
        <v>1717.7280000000001</v>
      </c>
      <c r="G10" s="10">
        <v>1469.65</v>
      </c>
      <c r="H10" s="41">
        <v>999.42</v>
      </c>
      <c r="I10" s="41">
        <v>1466</v>
      </c>
      <c r="J10" s="41">
        <v>1459</v>
      </c>
    </row>
    <row r="11" spans="1:10" x14ac:dyDescent="0.2">
      <c r="A11" t="s">
        <v>240</v>
      </c>
      <c r="B11" t="s">
        <v>222</v>
      </c>
      <c r="D11" s="10">
        <f>0.162*SUM(D4+D5+4500)</f>
        <v>16979.284800000001</v>
      </c>
      <c r="E11" s="10">
        <v>12791.23</v>
      </c>
      <c r="F11" s="10">
        <f>0.153*SUM(F4+F5+4500)</f>
        <v>15738.191999999999</v>
      </c>
      <c r="G11" s="10">
        <v>11847.1</v>
      </c>
      <c r="H11" s="42">
        <v>8043.3</v>
      </c>
      <c r="I11" s="42">
        <f>(I4+I5)*0.144</f>
        <v>13464.431999999999</v>
      </c>
      <c r="J11" s="42">
        <f>(J4+J5)*0.141</f>
        <v>13146.416999999999</v>
      </c>
    </row>
    <row r="12" spans="1:10" x14ac:dyDescent="0.2">
      <c r="A12" t="s">
        <v>214</v>
      </c>
      <c r="D12" s="10"/>
      <c r="E12" s="10"/>
      <c r="F12" s="10"/>
      <c r="G12" s="10"/>
      <c r="H12" s="10"/>
      <c r="I12" s="10"/>
      <c r="J12" s="10"/>
    </row>
    <row r="13" spans="1:10" x14ac:dyDescent="0.2">
      <c r="A13" t="s">
        <v>241</v>
      </c>
      <c r="B13" t="s">
        <v>216</v>
      </c>
      <c r="D13" s="10">
        <v>19272</v>
      </c>
      <c r="E13" s="10">
        <v>16060</v>
      </c>
      <c r="F13" s="10">
        <v>19272</v>
      </c>
      <c r="G13" s="10">
        <v>14886.5</v>
      </c>
      <c r="H13" s="41">
        <v>9402</v>
      </c>
      <c r="I13" s="41">
        <v>19968</v>
      </c>
      <c r="J13" s="41">
        <v>18072</v>
      </c>
    </row>
    <row r="14" spans="1:10" x14ac:dyDescent="0.2">
      <c r="A14" t="s">
        <v>242</v>
      </c>
      <c r="B14" t="s">
        <v>218</v>
      </c>
      <c r="D14" s="10">
        <f>56.61*12*2</f>
        <v>1358.6399999999999</v>
      </c>
      <c r="E14" s="10">
        <v>1132</v>
      </c>
      <c r="F14" s="10">
        <f>38.98*2*12</f>
        <v>935.52</v>
      </c>
      <c r="G14" s="10">
        <v>811.14</v>
      </c>
      <c r="H14" s="42">
        <v>416.82</v>
      </c>
      <c r="I14" s="42">
        <v>1365</v>
      </c>
      <c r="J14" s="42">
        <v>1326</v>
      </c>
    </row>
    <row r="15" spans="1:10" x14ac:dyDescent="0.2">
      <c r="A15" t="s">
        <v>50</v>
      </c>
      <c r="D15" s="10"/>
      <c r="E15" s="10"/>
      <c r="F15" s="10"/>
      <c r="G15" s="10"/>
      <c r="H15" s="42"/>
      <c r="I15" s="42"/>
      <c r="J15" s="42"/>
    </row>
    <row r="16" spans="1:10" x14ac:dyDescent="0.2">
      <c r="A16" t="s">
        <v>243</v>
      </c>
      <c r="B16" t="s">
        <v>213</v>
      </c>
      <c r="D16" s="10">
        <v>3500</v>
      </c>
      <c r="E16" s="10">
        <v>0</v>
      </c>
      <c r="F16" s="10">
        <v>3500</v>
      </c>
      <c r="G16" s="10">
        <v>3226</v>
      </c>
      <c r="H16" s="41">
        <v>2051</v>
      </c>
      <c r="I16" s="41">
        <v>6459</v>
      </c>
      <c r="J16" s="41">
        <v>2975</v>
      </c>
    </row>
    <row r="17" spans="1:10" x14ac:dyDescent="0.2">
      <c r="A17" t="s">
        <v>36</v>
      </c>
      <c r="D17" s="10"/>
      <c r="E17" s="10"/>
      <c r="F17" s="10"/>
      <c r="G17" s="10"/>
      <c r="H17" s="10"/>
      <c r="I17" s="10"/>
      <c r="J17" s="10"/>
    </row>
    <row r="18" spans="1:10" x14ac:dyDescent="0.2">
      <c r="A18" t="s">
        <v>244</v>
      </c>
      <c r="B18" t="s">
        <v>38</v>
      </c>
      <c r="D18" s="10">
        <v>0</v>
      </c>
      <c r="E18" s="72">
        <v>0</v>
      </c>
      <c r="F18" s="10">
        <v>0</v>
      </c>
      <c r="G18" s="10">
        <v>306.94</v>
      </c>
      <c r="H18" s="10">
        <v>116.23</v>
      </c>
      <c r="I18" s="10">
        <v>17</v>
      </c>
      <c r="J18" s="10">
        <f>358+252</f>
        <v>610</v>
      </c>
    </row>
    <row r="19" spans="1:10" x14ac:dyDescent="0.2">
      <c r="A19" t="s">
        <v>245</v>
      </c>
      <c r="B19" t="s">
        <v>49</v>
      </c>
      <c r="D19" s="10">
        <v>1000</v>
      </c>
      <c r="E19" s="10">
        <v>755.68</v>
      </c>
      <c r="F19" s="10">
        <v>1000</v>
      </c>
      <c r="G19" s="10">
        <f>116.23+1453.17</f>
        <v>1569.4</v>
      </c>
      <c r="H19" s="10">
        <v>644.09</v>
      </c>
      <c r="I19" s="10">
        <f>888+85</f>
        <v>973</v>
      </c>
      <c r="J19" s="10">
        <v>1423</v>
      </c>
    </row>
    <row r="20" spans="1:10" x14ac:dyDescent="0.2">
      <c r="A20" t="s">
        <v>180</v>
      </c>
      <c r="D20" s="10"/>
      <c r="E20" s="10"/>
      <c r="F20" s="10"/>
      <c r="G20" s="10"/>
      <c r="H20" s="10"/>
      <c r="I20" s="10"/>
      <c r="J20" s="10"/>
    </row>
    <row r="21" spans="1:10" x14ac:dyDescent="0.2">
      <c r="A21" t="s">
        <v>246</v>
      </c>
      <c r="B21" t="s">
        <v>183</v>
      </c>
      <c r="D21" s="10">
        <v>5000</v>
      </c>
      <c r="E21" s="10">
        <v>2886.11</v>
      </c>
      <c r="F21" s="10">
        <v>5000</v>
      </c>
      <c r="G21" s="10">
        <v>3531.64</v>
      </c>
      <c r="H21" s="10">
        <v>3236.7</v>
      </c>
      <c r="I21" s="10">
        <v>4769</v>
      </c>
      <c r="J21" s="10">
        <v>3491</v>
      </c>
    </row>
    <row r="22" spans="1:10" x14ac:dyDescent="0.2">
      <c r="A22" t="s">
        <v>247</v>
      </c>
      <c r="B22" t="s">
        <v>205</v>
      </c>
      <c r="D22" s="10">
        <v>400</v>
      </c>
      <c r="E22" s="10">
        <v>196.54</v>
      </c>
      <c r="F22" s="10">
        <v>400</v>
      </c>
      <c r="G22" s="10">
        <v>115.01</v>
      </c>
      <c r="H22" s="10">
        <v>93.76</v>
      </c>
      <c r="I22" s="10">
        <v>144</v>
      </c>
      <c r="J22" s="10">
        <v>400</v>
      </c>
    </row>
    <row r="23" spans="1:10" x14ac:dyDescent="0.2">
      <c r="A23" t="s">
        <v>248</v>
      </c>
      <c r="B23" t="s">
        <v>35</v>
      </c>
      <c r="D23" s="10">
        <v>2000</v>
      </c>
      <c r="E23" s="10">
        <v>0</v>
      </c>
      <c r="F23" s="10">
        <v>2000</v>
      </c>
      <c r="G23" s="10">
        <v>926.74</v>
      </c>
      <c r="H23" s="10">
        <v>666.09</v>
      </c>
      <c r="I23" s="10">
        <v>1710</v>
      </c>
      <c r="J23" s="10">
        <v>0</v>
      </c>
    </row>
    <row r="24" spans="1:10" x14ac:dyDescent="0.2">
      <c r="A24" t="s">
        <v>23</v>
      </c>
      <c r="D24" s="10"/>
      <c r="E24" s="10"/>
      <c r="F24" s="10"/>
      <c r="G24" s="10"/>
      <c r="H24" s="10"/>
      <c r="I24" s="10"/>
      <c r="J24" s="10"/>
    </row>
    <row r="25" spans="1:10" x14ac:dyDescent="0.2">
      <c r="A25" t="s">
        <v>249</v>
      </c>
      <c r="B25" t="s">
        <v>171</v>
      </c>
      <c r="D25" s="10">
        <v>1000</v>
      </c>
      <c r="E25" s="10">
        <v>0</v>
      </c>
      <c r="F25" s="10">
        <v>1000</v>
      </c>
      <c r="G25" s="10">
        <v>588.67999999999995</v>
      </c>
      <c r="H25" s="10">
        <v>257.48</v>
      </c>
      <c r="I25" s="10">
        <v>517</v>
      </c>
      <c r="J25" s="10">
        <v>1144</v>
      </c>
    </row>
    <row r="26" spans="1:10" x14ac:dyDescent="0.2">
      <c r="A26" t="s">
        <v>250</v>
      </c>
      <c r="B26" t="s">
        <v>172</v>
      </c>
      <c r="D26" s="10">
        <v>750</v>
      </c>
      <c r="E26" s="10">
        <v>607.66</v>
      </c>
      <c r="F26" s="10">
        <v>750</v>
      </c>
      <c r="G26" s="10">
        <v>40</v>
      </c>
      <c r="H26" s="10">
        <v>100</v>
      </c>
      <c r="I26" s="10">
        <v>0</v>
      </c>
      <c r="J26" s="10">
        <v>0</v>
      </c>
    </row>
    <row r="27" spans="1:10" x14ac:dyDescent="0.2">
      <c r="A27" t="s">
        <v>251</v>
      </c>
      <c r="B27" t="s">
        <v>179</v>
      </c>
      <c r="D27" s="10">
        <v>600</v>
      </c>
      <c r="E27" s="10">
        <v>502.52</v>
      </c>
      <c r="F27" s="10">
        <v>600</v>
      </c>
      <c r="G27" s="10">
        <v>274.31</v>
      </c>
      <c r="H27" s="10">
        <v>194.09</v>
      </c>
      <c r="I27" s="10">
        <v>360</v>
      </c>
      <c r="J27" s="10">
        <v>1245</v>
      </c>
    </row>
    <row r="28" spans="1:10" x14ac:dyDescent="0.2">
      <c r="A28" t="s">
        <v>6</v>
      </c>
      <c r="D28" s="10"/>
      <c r="E28" s="10"/>
      <c r="F28" s="10"/>
      <c r="G28" s="10"/>
      <c r="H28" s="10"/>
      <c r="I28" s="10"/>
      <c r="J28" s="10"/>
    </row>
    <row r="29" spans="1:10" x14ac:dyDescent="0.2">
      <c r="A29" t="s">
        <v>252</v>
      </c>
      <c r="B29" t="s">
        <v>8</v>
      </c>
      <c r="D29" s="10">
        <v>0</v>
      </c>
      <c r="E29" s="10">
        <v>2193.3000000000002</v>
      </c>
      <c r="F29" s="10">
        <v>1350</v>
      </c>
      <c r="G29" s="10">
        <v>1313</v>
      </c>
      <c r="H29" s="42">
        <v>1275</v>
      </c>
      <c r="I29" s="42">
        <v>1200</v>
      </c>
      <c r="J29" s="42">
        <v>1180</v>
      </c>
    </row>
    <row r="30" spans="1:10" x14ac:dyDescent="0.2">
      <c r="A30" t="s">
        <v>253</v>
      </c>
      <c r="B30" t="s">
        <v>12</v>
      </c>
      <c r="D30" s="10">
        <v>12000</v>
      </c>
      <c r="E30" s="10">
        <v>5019.5</v>
      </c>
      <c r="F30" s="10">
        <v>10000</v>
      </c>
      <c r="G30" s="10">
        <v>3935</v>
      </c>
      <c r="H30" s="42">
        <v>4193.5</v>
      </c>
      <c r="I30" s="42">
        <v>5956</v>
      </c>
      <c r="J30" s="42">
        <v>4298</v>
      </c>
    </row>
    <row r="31" spans="1:10" x14ac:dyDescent="0.2">
      <c r="A31" t="s">
        <v>1050</v>
      </c>
      <c r="B31" t="s">
        <v>14</v>
      </c>
      <c r="D31" s="10">
        <v>1605</v>
      </c>
      <c r="E31" s="10">
        <v>0</v>
      </c>
      <c r="F31" s="10">
        <v>0</v>
      </c>
      <c r="G31" s="10">
        <v>0</v>
      </c>
      <c r="H31" s="42">
        <v>0</v>
      </c>
      <c r="I31" s="42">
        <v>0</v>
      </c>
      <c r="J31" s="42">
        <v>0</v>
      </c>
    </row>
    <row r="32" spans="1:10" x14ac:dyDescent="0.2">
      <c r="A32" s="29" t="s">
        <v>795</v>
      </c>
      <c r="B32" t="s">
        <v>105</v>
      </c>
      <c r="D32" s="10">
        <v>0</v>
      </c>
      <c r="E32" s="10">
        <v>0</v>
      </c>
      <c r="F32" s="10">
        <v>0</v>
      </c>
      <c r="G32" s="10">
        <v>2292.4299999999998</v>
      </c>
      <c r="H32" s="42">
        <f>3918+96.16</f>
        <v>4014.16</v>
      </c>
      <c r="I32" s="42">
        <v>2095</v>
      </c>
      <c r="J32" s="42">
        <v>61</v>
      </c>
    </row>
    <row r="33" spans="1:10" x14ac:dyDescent="0.2">
      <c r="A33" t="s">
        <v>5</v>
      </c>
      <c r="D33" s="10"/>
      <c r="E33" s="10"/>
      <c r="F33" s="10"/>
      <c r="G33" s="10"/>
      <c r="H33" s="42"/>
      <c r="I33" s="42"/>
      <c r="J33" s="42"/>
    </row>
    <row r="34" spans="1:10" x14ac:dyDescent="0.2">
      <c r="A34" t="s">
        <v>254</v>
      </c>
      <c r="B34" t="s">
        <v>100</v>
      </c>
      <c r="D34" s="10">
        <v>1000</v>
      </c>
      <c r="E34" s="10">
        <v>652.29999999999995</v>
      </c>
      <c r="F34" s="10">
        <v>1000</v>
      </c>
      <c r="G34" s="10">
        <v>705.89</v>
      </c>
      <c r="H34" s="42">
        <v>564.79999999999995</v>
      </c>
      <c r="I34" s="42">
        <v>746</v>
      </c>
      <c r="J34" s="42">
        <v>780</v>
      </c>
    </row>
    <row r="35" spans="1:10" x14ac:dyDescent="0.2">
      <c r="A35" t="s">
        <v>255</v>
      </c>
      <c r="B35" t="s">
        <v>101</v>
      </c>
      <c r="D35" s="10">
        <v>250</v>
      </c>
      <c r="E35" s="10">
        <v>31.08</v>
      </c>
      <c r="F35" s="10">
        <v>250</v>
      </c>
      <c r="G35" s="10">
        <v>6.11</v>
      </c>
      <c r="H35" s="42">
        <v>15.01</v>
      </c>
      <c r="I35" s="42">
        <v>0</v>
      </c>
      <c r="J35" s="42">
        <v>175</v>
      </c>
    </row>
    <row r="36" spans="1:10" x14ac:dyDescent="0.2">
      <c r="A36" t="s">
        <v>165</v>
      </c>
      <c r="D36" s="10"/>
      <c r="E36" s="10"/>
      <c r="F36" s="10"/>
      <c r="G36" s="10"/>
      <c r="H36" s="42"/>
      <c r="I36" s="42"/>
      <c r="J36" s="42"/>
    </row>
    <row r="37" spans="1:10" x14ac:dyDescent="0.2">
      <c r="A37" t="s">
        <v>256</v>
      </c>
      <c r="B37" t="s">
        <v>167</v>
      </c>
      <c r="D37" s="10">
        <v>0</v>
      </c>
      <c r="E37" s="10">
        <v>0</v>
      </c>
      <c r="F37" s="10">
        <v>0</v>
      </c>
      <c r="G37" s="10">
        <v>0</v>
      </c>
      <c r="H37" s="42">
        <v>29.58</v>
      </c>
      <c r="I37" s="42">
        <v>0</v>
      </c>
      <c r="J37" s="42">
        <v>0</v>
      </c>
    </row>
    <row r="38" spans="1:10" x14ac:dyDescent="0.2">
      <c r="A38" t="s">
        <v>159</v>
      </c>
      <c r="D38" s="10"/>
      <c r="E38" s="10"/>
      <c r="F38" s="10"/>
      <c r="G38" s="10"/>
      <c r="H38" s="42"/>
      <c r="I38" s="42"/>
      <c r="J38" s="42"/>
    </row>
    <row r="39" spans="1:10" x14ac:dyDescent="0.2">
      <c r="A39" t="s">
        <v>257</v>
      </c>
      <c r="B39" t="s">
        <v>163</v>
      </c>
      <c r="D39" s="10">
        <v>0</v>
      </c>
      <c r="E39" s="10">
        <v>0</v>
      </c>
      <c r="F39" s="10">
        <v>0</v>
      </c>
      <c r="G39" s="10">
        <v>74.2</v>
      </c>
      <c r="H39" s="42">
        <v>0</v>
      </c>
      <c r="I39" s="42">
        <v>0</v>
      </c>
      <c r="J39" s="42">
        <v>0</v>
      </c>
    </row>
    <row r="40" spans="1:10" x14ac:dyDescent="0.2">
      <c r="A40" t="s">
        <v>153</v>
      </c>
      <c r="D40" s="10"/>
      <c r="E40" s="10"/>
      <c r="F40" s="10"/>
      <c r="G40" s="10"/>
      <c r="H40" s="42"/>
      <c r="I40" s="42"/>
      <c r="J40" s="42"/>
    </row>
    <row r="41" spans="1:10" x14ac:dyDescent="0.2">
      <c r="A41" t="s">
        <v>258</v>
      </c>
      <c r="B41" t="s">
        <v>156</v>
      </c>
      <c r="D41" s="10">
        <v>0</v>
      </c>
      <c r="E41" s="10">
        <v>0</v>
      </c>
      <c r="F41" s="10">
        <v>0</v>
      </c>
      <c r="G41" s="10">
        <v>0</v>
      </c>
      <c r="H41" s="42">
        <v>113.6</v>
      </c>
      <c r="I41" s="42">
        <v>54</v>
      </c>
      <c r="J41" s="42">
        <v>46</v>
      </c>
    </row>
    <row r="42" spans="1:10" x14ac:dyDescent="0.2">
      <c r="A42" t="s">
        <v>146</v>
      </c>
      <c r="D42" s="10"/>
      <c r="E42" s="10"/>
      <c r="F42" s="10"/>
      <c r="G42" s="10"/>
      <c r="H42" s="42"/>
      <c r="I42" s="42"/>
      <c r="J42" s="42"/>
    </row>
    <row r="43" spans="1:10" x14ac:dyDescent="0.2">
      <c r="A43" t="s">
        <v>593</v>
      </c>
      <c r="B43" t="s">
        <v>96</v>
      </c>
      <c r="D43" s="10">
        <v>0</v>
      </c>
      <c r="E43" s="10">
        <v>0</v>
      </c>
      <c r="F43" s="10">
        <v>0</v>
      </c>
      <c r="G43" s="10">
        <v>2427.65</v>
      </c>
      <c r="H43" s="41">
        <v>962.55</v>
      </c>
      <c r="I43" s="41">
        <v>713</v>
      </c>
      <c r="J43" s="41">
        <v>913</v>
      </c>
    </row>
    <row r="44" spans="1:10" x14ac:dyDescent="0.2">
      <c r="A44" t="s">
        <v>594</v>
      </c>
      <c r="B44" t="s">
        <v>595</v>
      </c>
      <c r="D44" s="10">
        <v>0</v>
      </c>
      <c r="E44" s="10">
        <v>0</v>
      </c>
      <c r="F44" s="10">
        <v>0</v>
      </c>
      <c r="G44" s="10">
        <v>309</v>
      </c>
      <c r="H44" s="41">
        <v>310</v>
      </c>
      <c r="I44" s="41">
        <v>218</v>
      </c>
      <c r="J44" s="41">
        <v>298</v>
      </c>
    </row>
    <row r="45" spans="1:10" x14ac:dyDescent="0.2">
      <c r="A45" t="s">
        <v>259</v>
      </c>
      <c r="B45" t="s">
        <v>150</v>
      </c>
      <c r="D45" s="10">
        <v>1000</v>
      </c>
      <c r="E45" s="10">
        <v>996</v>
      </c>
      <c r="F45" s="10">
        <v>1000</v>
      </c>
      <c r="G45" s="10">
        <v>998</v>
      </c>
      <c r="H45" s="41">
        <v>836</v>
      </c>
      <c r="I45" s="41">
        <v>638</v>
      </c>
      <c r="J45" s="41">
        <v>882</v>
      </c>
    </row>
    <row r="46" spans="1:10" x14ac:dyDescent="0.2">
      <c r="A46" t="s">
        <v>138</v>
      </c>
      <c r="D46" s="10"/>
      <c r="E46" s="10"/>
      <c r="F46" s="10"/>
      <c r="G46" s="10"/>
      <c r="H46" s="42"/>
      <c r="I46" s="42"/>
      <c r="J46" s="42"/>
    </row>
    <row r="47" spans="1:10" x14ac:dyDescent="0.2">
      <c r="A47" t="s">
        <v>260</v>
      </c>
      <c r="B47" t="s">
        <v>139</v>
      </c>
      <c r="D47" s="10">
        <v>1500</v>
      </c>
      <c r="E47" s="10">
        <v>915.1</v>
      </c>
      <c r="F47" s="10">
        <v>2000</v>
      </c>
      <c r="G47" s="10">
        <v>1185.55</v>
      </c>
      <c r="H47" s="41">
        <v>1088.44</v>
      </c>
      <c r="I47" s="41">
        <v>956</v>
      </c>
      <c r="J47" s="41">
        <v>1544</v>
      </c>
    </row>
    <row r="48" spans="1:10" x14ac:dyDescent="0.2">
      <c r="A48" t="s">
        <v>261</v>
      </c>
      <c r="B48" t="s">
        <v>141</v>
      </c>
      <c r="D48" s="10">
        <v>0</v>
      </c>
      <c r="E48" s="10">
        <v>0</v>
      </c>
      <c r="F48" s="10">
        <v>0</v>
      </c>
      <c r="G48" s="10">
        <v>0</v>
      </c>
      <c r="H48" s="42">
        <v>135.61000000000001</v>
      </c>
      <c r="I48" s="42">
        <v>522</v>
      </c>
      <c r="J48" s="42">
        <v>863</v>
      </c>
    </row>
    <row r="49" spans="1:10" x14ac:dyDescent="0.2">
      <c r="A49" t="s">
        <v>585</v>
      </c>
      <c r="D49" s="10"/>
      <c r="E49" s="10"/>
      <c r="F49" s="10"/>
      <c r="G49" s="10"/>
      <c r="H49" s="42"/>
      <c r="I49" s="42"/>
      <c r="J49" s="42"/>
    </row>
    <row r="50" spans="1:10" x14ac:dyDescent="0.2">
      <c r="A50" s="13" t="s">
        <v>613</v>
      </c>
      <c r="B50" t="s">
        <v>1046</v>
      </c>
      <c r="D50" s="10">
        <v>16800</v>
      </c>
      <c r="E50" s="10">
        <v>-31.28</v>
      </c>
      <c r="F50" s="10">
        <v>500</v>
      </c>
      <c r="G50" s="10">
        <v>3915</v>
      </c>
      <c r="H50" s="42">
        <v>2840</v>
      </c>
      <c r="I50" s="42">
        <v>11685</v>
      </c>
      <c r="J50" s="42">
        <v>0</v>
      </c>
    </row>
    <row r="51" spans="1:10" x14ac:dyDescent="0.2">
      <c r="A51" t="s">
        <v>127</v>
      </c>
      <c r="D51" s="10"/>
      <c r="E51" s="10"/>
      <c r="F51" s="10"/>
      <c r="G51" s="10"/>
      <c r="H51" s="42"/>
      <c r="I51" s="42"/>
      <c r="J51" s="42"/>
    </row>
    <row r="52" spans="1:10" x14ac:dyDescent="0.2">
      <c r="A52" t="s">
        <v>814</v>
      </c>
      <c r="B52" t="s">
        <v>130</v>
      </c>
      <c r="D52" s="10">
        <v>0</v>
      </c>
      <c r="E52" s="10">
        <v>0</v>
      </c>
      <c r="F52" s="10">
        <v>0</v>
      </c>
      <c r="G52" s="10">
        <v>0</v>
      </c>
      <c r="H52" s="42">
        <v>600</v>
      </c>
      <c r="I52" s="42">
        <v>0</v>
      </c>
      <c r="J52" s="42">
        <v>0</v>
      </c>
    </row>
    <row r="53" spans="1:10" x14ac:dyDescent="0.2">
      <c r="A53" t="s">
        <v>125</v>
      </c>
      <c r="D53" s="10"/>
      <c r="E53" s="10"/>
      <c r="F53" s="10"/>
      <c r="G53" s="10"/>
      <c r="H53" s="42"/>
      <c r="I53" s="42"/>
      <c r="J53" s="42"/>
    </row>
    <row r="54" spans="1:10" x14ac:dyDescent="0.2">
      <c r="A54" t="s">
        <v>262</v>
      </c>
      <c r="B54" t="s">
        <v>126</v>
      </c>
      <c r="D54" s="10">
        <v>0</v>
      </c>
      <c r="E54" s="10">
        <v>0</v>
      </c>
      <c r="F54" s="10">
        <v>0</v>
      </c>
      <c r="G54" s="10">
        <v>10129</v>
      </c>
      <c r="H54" s="42">
        <v>0</v>
      </c>
      <c r="I54" s="42">
        <v>0</v>
      </c>
      <c r="J54" s="42">
        <v>0</v>
      </c>
    </row>
    <row r="55" spans="1:10" x14ac:dyDescent="0.2">
      <c r="A55" t="s">
        <v>120</v>
      </c>
      <c r="D55" s="10"/>
      <c r="E55" s="10"/>
      <c r="F55" s="10"/>
      <c r="G55" s="10"/>
      <c r="H55" s="42"/>
      <c r="I55" s="42"/>
      <c r="J55" s="42"/>
    </row>
    <row r="56" spans="1:10" x14ac:dyDescent="0.2">
      <c r="A56" t="s">
        <v>263</v>
      </c>
      <c r="B56" t="s">
        <v>104</v>
      </c>
      <c r="D56" s="10">
        <v>3000</v>
      </c>
      <c r="E56" s="10">
        <v>1518.92</v>
      </c>
      <c r="F56" s="10">
        <v>4000</v>
      </c>
      <c r="G56" s="10">
        <v>5022.33</v>
      </c>
      <c r="H56" s="42">
        <v>2219.62</v>
      </c>
      <c r="I56" s="42">
        <v>2995</v>
      </c>
      <c r="J56" s="42">
        <v>2171</v>
      </c>
    </row>
    <row r="57" spans="1:10" x14ac:dyDescent="0.2">
      <c r="A57" t="s">
        <v>264</v>
      </c>
      <c r="B57" t="s">
        <v>102</v>
      </c>
      <c r="D57" s="10">
        <v>1000</v>
      </c>
      <c r="E57" s="10">
        <v>545.79999999999995</v>
      </c>
      <c r="F57" s="10">
        <v>1000</v>
      </c>
      <c r="G57" s="10">
        <v>980.95</v>
      </c>
      <c r="H57" s="42">
        <v>1210.67</v>
      </c>
      <c r="I57" s="42">
        <v>340</v>
      </c>
      <c r="J57" s="42">
        <v>666</v>
      </c>
    </row>
    <row r="58" spans="1:10" x14ac:dyDescent="0.2">
      <c r="A58" t="s">
        <v>265</v>
      </c>
      <c r="B58" t="s">
        <v>121</v>
      </c>
      <c r="D58" s="10">
        <v>4000</v>
      </c>
      <c r="E58" s="10">
        <v>5720.67</v>
      </c>
      <c r="F58" s="10">
        <v>1000</v>
      </c>
      <c r="G58" s="10">
        <v>1442.16</v>
      </c>
      <c r="H58" s="42">
        <v>640.32000000000005</v>
      </c>
      <c r="I58" s="42">
        <v>672</v>
      </c>
      <c r="J58" s="42">
        <v>842</v>
      </c>
    </row>
    <row r="59" spans="1:10" x14ac:dyDescent="0.2">
      <c r="A59" t="s">
        <v>266</v>
      </c>
      <c r="B59" t="s">
        <v>123</v>
      </c>
      <c r="D59" s="10">
        <v>1500</v>
      </c>
      <c r="E59" s="10">
        <v>2604.44</v>
      </c>
      <c r="F59" s="10">
        <v>3000</v>
      </c>
      <c r="G59" s="10">
        <v>1735.6</v>
      </c>
      <c r="H59" s="42">
        <v>1881.13</v>
      </c>
      <c r="I59" s="42">
        <v>2948</v>
      </c>
      <c r="J59" s="42">
        <v>3062</v>
      </c>
    </row>
    <row r="60" spans="1:10" x14ac:dyDescent="0.2">
      <c r="D60" s="10"/>
      <c r="E60" s="10"/>
      <c r="F60" s="19"/>
      <c r="G60" s="19"/>
      <c r="H60" s="42"/>
      <c r="I60" s="42"/>
      <c r="J60" s="42"/>
    </row>
    <row r="61" spans="1:10" x14ac:dyDescent="0.2">
      <c r="A61" s="36"/>
      <c r="B61" s="27" t="s">
        <v>65</v>
      </c>
      <c r="D61" s="10">
        <f>SUM(D4:D59)</f>
        <v>224188.7248</v>
      </c>
      <c r="E61" s="10">
        <f>SUM(E4:E59)</f>
        <v>152342.85999999996</v>
      </c>
      <c r="F61" s="10">
        <f>SUM(F4:F59)</f>
        <v>197575.63999999998</v>
      </c>
      <c r="G61" s="10">
        <f>SUM(G4:G59)</f>
        <v>179765.29</v>
      </c>
      <c r="H61" s="41">
        <f t="shared" ref="H61:J61" si="0">SUM(H4:H60)</f>
        <v>119840.22</v>
      </c>
      <c r="I61" s="41">
        <f t="shared" si="0"/>
        <v>189210.622</v>
      </c>
      <c r="J61" s="41">
        <f t="shared" si="0"/>
        <v>169329.557</v>
      </c>
    </row>
    <row r="62" spans="1:10" x14ac:dyDescent="0.2">
      <c r="A62" s="43"/>
    </row>
    <row r="63" spans="1:10" x14ac:dyDescent="0.2">
      <c r="A63" s="36"/>
    </row>
    <row r="64" spans="1:10" x14ac:dyDescent="0.2">
      <c r="A64" t="s">
        <v>1047</v>
      </c>
    </row>
    <row r="65" spans="1:1" x14ac:dyDescent="0.2">
      <c r="A65" t="s">
        <v>972</v>
      </c>
    </row>
    <row r="66" spans="1:1" x14ac:dyDescent="0.2">
      <c r="A66" s="29" t="s">
        <v>1048</v>
      </c>
    </row>
    <row r="67" spans="1:1" x14ac:dyDescent="0.2">
      <c r="A67" s="29" t="s">
        <v>1049</v>
      </c>
    </row>
  </sheetData>
  <phoneticPr fontId="2" type="noConversion"/>
  <pageMargins left="0.25" right="0.25" top="0.75" bottom="0.75" header="0.3" footer="0.3"/>
  <pageSetup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7"/>
  <sheetViews>
    <sheetView topLeftCell="A49" workbookViewId="0">
      <selection activeCell="E63" sqref="E63"/>
    </sheetView>
  </sheetViews>
  <sheetFormatPr defaultRowHeight="12.75" x14ac:dyDescent="0.2"/>
  <cols>
    <col min="1" max="1" width="18.42578125" customWidth="1"/>
    <col min="2" max="2" width="27.42578125" customWidth="1"/>
    <col min="3" max="3" width="6.7109375" customWidth="1"/>
    <col min="4" max="7" width="11.7109375" customWidth="1"/>
    <col min="8" max="10" width="10.7109375" customWidth="1"/>
  </cols>
  <sheetData>
    <row r="1" spans="1:10" ht="15.75" x14ac:dyDescent="0.25">
      <c r="B1" s="14" t="s">
        <v>575</v>
      </c>
      <c r="D1" s="1">
        <v>2015</v>
      </c>
      <c r="E1" s="51">
        <v>2014</v>
      </c>
      <c r="F1" s="51">
        <v>2014</v>
      </c>
      <c r="G1" s="51">
        <v>2013</v>
      </c>
      <c r="H1" s="51">
        <v>2012</v>
      </c>
      <c r="I1" s="51">
        <v>2011</v>
      </c>
      <c r="J1" s="18">
        <v>2010</v>
      </c>
    </row>
    <row r="2" spans="1:10" x14ac:dyDescent="0.2">
      <c r="A2" t="s">
        <v>89</v>
      </c>
      <c r="D2" s="1" t="s">
        <v>596</v>
      </c>
      <c r="E2" s="51" t="s">
        <v>1076</v>
      </c>
      <c r="F2" s="51" t="s">
        <v>596</v>
      </c>
      <c r="G2" s="51" t="s">
        <v>1002</v>
      </c>
      <c r="H2" s="51" t="s">
        <v>597</v>
      </c>
      <c r="I2" s="51" t="s">
        <v>597</v>
      </c>
      <c r="J2" s="51" t="s">
        <v>597</v>
      </c>
    </row>
    <row r="3" spans="1:10" x14ac:dyDescent="0.2">
      <c r="A3" t="s">
        <v>223</v>
      </c>
      <c r="J3" s="24"/>
    </row>
    <row r="4" spans="1:10" x14ac:dyDescent="0.2">
      <c r="A4" t="s">
        <v>267</v>
      </c>
      <c r="B4" t="s">
        <v>54</v>
      </c>
      <c r="D4" s="10">
        <v>7000</v>
      </c>
      <c r="E4" s="10">
        <v>0</v>
      </c>
      <c r="F4" s="10">
        <v>8000</v>
      </c>
      <c r="G4" s="10">
        <v>5431</v>
      </c>
      <c r="H4" s="21">
        <v>5700.82</v>
      </c>
      <c r="I4" s="21">
        <v>6420</v>
      </c>
      <c r="J4" s="21">
        <v>6650</v>
      </c>
    </row>
    <row r="5" spans="1:10" x14ac:dyDescent="0.2">
      <c r="A5" t="s">
        <v>219</v>
      </c>
      <c r="D5" s="10"/>
      <c r="E5" s="10"/>
      <c r="F5" s="10"/>
      <c r="G5" s="10"/>
      <c r="H5" s="13"/>
      <c r="I5" s="13"/>
      <c r="J5" s="13"/>
    </row>
    <row r="6" spans="1:10" x14ac:dyDescent="0.2">
      <c r="A6" t="s">
        <v>268</v>
      </c>
      <c r="B6" t="s">
        <v>92</v>
      </c>
      <c r="D6" s="10">
        <f>0.062*7000</f>
        <v>434</v>
      </c>
      <c r="E6" s="10">
        <v>0</v>
      </c>
      <c r="F6" s="10">
        <v>496</v>
      </c>
      <c r="G6" s="10">
        <v>333.73</v>
      </c>
      <c r="H6" s="10">
        <v>344.93</v>
      </c>
      <c r="I6" s="10">
        <v>406</v>
      </c>
      <c r="J6" s="10">
        <v>225</v>
      </c>
    </row>
    <row r="7" spans="1:10" x14ac:dyDescent="0.2">
      <c r="A7" t="s">
        <v>269</v>
      </c>
      <c r="B7" t="s">
        <v>94</v>
      </c>
      <c r="D7" s="10">
        <f>0.0145*7000</f>
        <v>101.5</v>
      </c>
      <c r="E7" s="10">
        <v>0</v>
      </c>
      <c r="F7" s="10">
        <v>116</v>
      </c>
      <c r="G7" s="10">
        <v>78.77</v>
      </c>
      <c r="H7" s="42">
        <v>82.66</v>
      </c>
      <c r="I7" s="42">
        <v>98</v>
      </c>
      <c r="J7" s="42">
        <v>29</v>
      </c>
    </row>
    <row r="8" spans="1:10" x14ac:dyDescent="0.2">
      <c r="A8" t="s">
        <v>270</v>
      </c>
      <c r="B8" t="s">
        <v>778</v>
      </c>
      <c r="C8" s="28"/>
      <c r="D8" s="110">
        <v>0</v>
      </c>
      <c r="E8" s="110">
        <v>0</v>
      </c>
      <c r="F8" s="72">
        <v>0</v>
      </c>
      <c r="G8" s="72">
        <v>0</v>
      </c>
      <c r="H8" s="45">
        <v>7152</v>
      </c>
      <c r="I8" s="45">
        <v>0</v>
      </c>
      <c r="J8" s="45">
        <v>0</v>
      </c>
    </row>
    <row r="9" spans="1:10" x14ac:dyDescent="0.2">
      <c r="A9" t="s">
        <v>270</v>
      </c>
      <c r="B9" t="s">
        <v>779</v>
      </c>
      <c r="D9" s="10">
        <v>7000</v>
      </c>
      <c r="E9" s="10">
        <v>6437</v>
      </c>
      <c r="F9" s="10">
        <v>3113</v>
      </c>
      <c r="G9" s="10">
        <v>6350</v>
      </c>
      <c r="H9" s="45">
        <v>0</v>
      </c>
      <c r="I9" s="45">
        <v>13254</v>
      </c>
      <c r="J9" s="45">
        <v>6411</v>
      </c>
    </row>
    <row r="10" spans="1:10" x14ac:dyDescent="0.2">
      <c r="A10" t="s">
        <v>50</v>
      </c>
      <c r="D10" s="10"/>
      <c r="E10" s="10"/>
      <c r="F10" s="10"/>
      <c r="G10" s="10"/>
      <c r="H10" s="45"/>
      <c r="I10" s="45"/>
      <c r="J10" s="45"/>
    </row>
    <row r="11" spans="1:10" x14ac:dyDescent="0.2">
      <c r="A11" t="s">
        <v>271</v>
      </c>
      <c r="B11" t="s">
        <v>213</v>
      </c>
      <c r="D11" s="10">
        <v>2500</v>
      </c>
      <c r="E11" s="10">
        <v>0</v>
      </c>
      <c r="F11" s="10">
        <v>2500</v>
      </c>
      <c r="G11" s="10">
        <v>2724</v>
      </c>
      <c r="H11" s="45">
        <v>2635</v>
      </c>
      <c r="I11" s="45">
        <v>4608</v>
      </c>
      <c r="J11" s="45">
        <v>2262</v>
      </c>
    </row>
    <row r="12" spans="1:10" x14ac:dyDescent="0.2">
      <c r="A12" t="s">
        <v>36</v>
      </c>
      <c r="D12" s="10"/>
      <c r="E12" s="10"/>
      <c r="F12" s="10"/>
      <c r="G12" s="10"/>
      <c r="H12" s="43"/>
      <c r="I12" s="43"/>
      <c r="J12" s="43"/>
    </row>
    <row r="13" spans="1:10" x14ac:dyDescent="0.2">
      <c r="A13" s="13" t="s">
        <v>645</v>
      </c>
      <c r="B13" s="13" t="s">
        <v>646</v>
      </c>
      <c r="D13" s="10">
        <v>0</v>
      </c>
      <c r="E13" s="10">
        <v>0</v>
      </c>
      <c r="F13" s="10">
        <v>0</v>
      </c>
      <c r="G13" s="10">
        <v>0</v>
      </c>
      <c r="H13" s="45">
        <v>32.9</v>
      </c>
      <c r="I13" s="45">
        <v>0</v>
      </c>
      <c r="J13" s="45">
        <v>0</v>
      </c>
    </row>
    <row r="14" spans="1:10" x14ac:dyDescent="0.2">
      <c r="A14" t="s">
        <v>623</v>
      </c>
      <c r="B14" t="s">
        <v>626</v>
      </c>
      <c r="D14" s="10">
        <v>0</v>
      </c>
      <c r="E14" s="10">
        <v>0</v>
      </c>
      <c r="F14" s="10">
        <v>0</v>
      </c>
      <c r="G14" s="10">
        <v>0</v>
      </c>
      <c r="H14" s="45">
        <v>28.55</v>
      </c>
      <c r="I14" s="45">
        <v>0</v>
      </c>
      <c r="J14" s="45">
        <v>0</v>
      </c>
    </row>
    <row r="15" spans="1:10" x14ac:dyDescent="0.2">
      <c r="A15" t="s">
        <v>272</v>
      </c>
      <c r="B15" t="s">
        <v>49</v>
      </c>
      <c r="D15" s="10">
        <v>200</v>
      </c>
      <c r="E15" s="10">
        <v>75.38</v>
      </c>
      <c r="F15" s="10">
        <v>300</v>
      </c>
      <c r="G15" s="10">
        <v>326.02</v>
      </c>
      <c r="H15" s="45">
        <v>29.95</v>
      </c>
      <c r="I15" s="45">
        <v>29</v>
      </c>
      <c r="J15" s="45">
        <v>470</v>
      </c>
    </row>
    <row r="16" spans="1:10" x14ac:dyDescent="0.2">
      <c r="A16" t="s">
        <v>180</v>
      </c>
      <c r="D16" s="10"/>
      <c r="E16" s="10"/>
      <c r="F16" s="10"/>
      <c r="G16" s="10"/>
      <c r="H16" s="45"/>
      <c r="I16" s="45"/>
      <c r="J16" s="45"/>
    </row>
    <row r="17" spans="1:10" x14ac:dyDescent="0.2">
      <c r="A17" t="s">
        <v>624</v>
      </c>
      <c r="B17" s="13" t="s">
        <v>182</v>
      </c>
      <c r="D17" s="10">
        <v>0</v>
      </c>
      <c r="E17" s="10">
        <v>0</v>
      </c>
      <c r="F17" s="10">
        <v>0</v>
      </c>
      <c r="G17" s="10">
        <v>0</v>
      </c>
      <c r="H17" s="45">
        <v>0</v>
      </c>
      <c r="I17" s="45">
        <v>41</v>
      </c>
      <c r="J17" s="45">
        <v>11</v>
      </c>
    </row>
    <row r="18" spans="1:10" x14ac:dyDescent="0.2">
      <c r="A18" t="s">
        <v>273</v>
      </c>
      <c r="B18" t="s">
        <v>183</v>
      </c>
      <c r="D18" s="10">
        <v>2500</v>
      </c>
      <c r="E18" s="10">
        <v>1918.04</v>
      </c>
      <c r="F18" s="10">
        <v>2500</v>
      </c>
      <c r="G18" s="10">
        <v>2321.87</v>
      </c>
      <c r="H18" s="45">
        <v>2211.8000000000002</v>
      </c>
      <c r="I18" s="45">
        <v>2080</v>
      </c>
      <c r="J18" s="45">
        <v>1373</v>
      </c>
    </row>
    <row r="19" spans="1:10" x14ac:dyDescent="0.2">
      <c r="A19" t="s">
        <v>274</v>
      </c>
      <c r="B19" t="s">
        <v>34</v>
      </c>
      <c r="D19" s="10">
        <v>0</v>
      </c>
      <c r="E19" s="10">
        <v>0</v>
      </c>
      <c r="F19" s="10">
        <v>0</v>
      </c>
      <c r="G19" s="10">
        <v>0</v>
      </c>
      <c r="H19" s="45">
        <v>0</v>
      </c>
      <c r="I19" s="45">
        <v>0</v>
      </c>
      <c r="J19" s="45">
        <v>19</v>
      </c>
    </row>
    <row r="20" spans="1:10" x14ac:dyDescent="0.2">
      <c r="A20" t="s">
        <v>627</v>
      </c>
      <c r="B20" t="s">
        <v>35</v>
      </c>
      <c r="D20" s="10">
        <v>200</v>
      </c>
      <c r="E20" s="10">
        <v>0</v>
      </c>
      <c r="F20" s="10">
        <v>200</v>
      </c>
      <c r="G20" s="10">
        <v>100.9</v>
      </c>
      <c r="H20" s="45">
        <v>562.94000000000005</v>
      </c>
      <c r="I20" s="45">
        <v>168</v>
      </c>
      <c r="J20" s="45">
        <v>62</v>
      </c>
    </row>
    <row r="21" spans="1:10" x14ac:dyDescent="0.2">
      <c r="A21" t="s">
        <v>23</v>
      </c>
      <c r="D21" s="10"/>
      <c r="E21" s="10"/>
      <c r="F21" s="10"/>
      <c r="G21" s="10"/>
      <c r="H21" s="45"/>
      <c r="I21" s="45"/>
      <c r="J21" s="45"/>
    </row>
    <row r="22" spans="1:10" x14ac:dyDescent="0.2">
      <c r="A22" t="s">
        <v>275</v>
      </c>
      <c r="B22" t="s">
        <v>171</v>
      </c>
      <c r="D22" s="10">
        <v>1000</v>
      </c>
      <c r="E22" s="10">
        <v>715</v>
      </c>
      <c r="F22" s="10">
        <v>1200</v>
      </c>
      <c r="G22" s="10">
        <v>920.14</v>
      </c>
      <c r="H22" s="45">
        <v>96.07</v>
      </c>
      <c r="I22" s="45">
        <v>768</v>
      </c>
      <c r="J22" s="45">
        <v>259</v>
      </c>
    </row>
    <row r="23" spans="1:10" x14ac:dyDescent="0.2">
      <c r="A23" t="s">
        <v>276</v>
      </c>
      <c r="B23" t="s">
        <v>174</v>
      </c>
      <c r="D23" s="10">
        <v>0</v>
      </c>
      <c r="E23" s="10">
        <v>0</v>
      </c>
      <c r="F23" s="10">
        <v>1000</v>
      </c>
      <c r="G23" s="10">
        <v>141.08000000000001</v>
      </c>
      <c r="H23" s="45">
        <v>93.63</v>
      </c>
      <c r="I23" s="45">
        <v>0</v>
      </c>
      <c r="J23" s="45">
        <v>42</v>
      </c>
    </row>
    <row r="24" spans="1:10" x14ac:dyDescent="0.2">
      <c r="A24" t="s">
        <v>815</v>
      </c>
      <c r="B24" t="s">
        <v>816</v>
      </c>
      <c r="D24" s="10">
        <v>0</v>
      </c>
      <c r="E24" s="10">
        <v>0</v>
      </c>
      <c r="F24" s="10">
        <v>0</v>
      </c>
      <c r="G24" s="10">
        <v>-326.66000000000003</v>
      </c>
      <c r="H24" s="45">
        <v>2225.7199999999998</v>
      </c>
      <c r="I24" s="45">
        <v>0</v>
      </c>
      <c r="J24" s="45">
        <v>0</v>
      </c>
    </row>
    <row r="25" spans="1:10" ht="13.5" customHeight="1" x14ac:dyDescent="0.2">
      <c r="A25" t="s">
        <v>277</v>
      </c>
      <c r="B25" t="s">
        <v>179</v>
      </c>
      <c r="D25" s="10">
        <v>200</v>
      </c>
      <c r="E25" s="10">
        <v>0</v>
      </c>
      <c r="F25" s="10">
        <v>300</v>
      </c>
      <c r="G25" s="10">
        <v>189.77</v>
      </c>
      <c r="H25" s="45">
        <v>45.12</v>
      </c>
      <c r="I25" s="45">
        <v>206</v>
      </c>
      <c r="J25" s="45">
        <v>315</v>
      </c>
    </row>
    <row r="26" spans="1:10" x14ac:dyDescent="0.2">
      <c r="A26" t="s">
        <v>6</v>
      </c>
      <c r="D26" s="10"/>
      <c r="E26" s="10"/>
      <c r="F26" s="10"/>
      <c r="G26" s="10"/>
      <c r="H26" s="45"/>
      <c r="I26" s="45"/>
      <c r="J26" s="45"/>
    </row>
    <row r="27" spans="1:10" x14ac:dyDescent="0.2">
      <c r="A27" t="s">
        <v>278</v>
      </c>
      <c r="B27" t="s">
        <v>8</v>
      </c>
      <c r="D27" s="10">
        <v>0</v>
      </c>
      <c r="E27" s="10">
        <v>2193</v>
      </c>
      <c r="F27" s="10">
        <v>1350</v>
      </c>
      <c r="G27" s="10">
        <v>1313</v>
      </c>
      <c r="H27" s="45">
        <v>1275</v>
      </c>
      <c r="I27" s="45">
        <v>1200</v>
      </c>
      <c r="J27" s="45">
        <v>1180</v>
      </c>
    </row>
    <row r="28" spans="1:10" x14ac:dyDescent="0.2">
      <c r="A28" t="s">
        <v>279</v>
      </c>
      <c r="B28" t="s">
        <v>15</v>
      </c>
      <c r="D28" s="10">
        <v>3000</v>
      </c>
      <c r="E28" s="10">
        <v>1870</v>
      </c>
      <c r="F28" s="10">
        <v>2500</v>
      </c>
      <c r="G28" s="10">
        <v>2147.5</v>
      </c>
      <c r="H28" s="45">
        <v>2207.5</v>
      </c>
      <c r="I28" s="45">
        <v>2319</v>
      </c>
      <c r="J28" s="45">
        <v>2681</v>
      </c>
    </row>
    <row r="29" spans="1:10" x14ac:dyDescent="0.2">
      <c r="A29" t="s">
        <v>280</v>
      </c>
      <c r="B29" t="s">
        <v>105</v>
      </c>
      <c r="D29" s="10">
        <v>750</v>
      </c>
      <c r="E29" s="10">
        <v>1029.6300000000001</v>
      </c>
      <c r="F29" s="10">
        <v>500</v>
      </c>
      <c r="G29" s="10">
        <v>1321.3</v>
      </c>
      <c r="H29" s="45">
        <v>33.200000000000003</v>
      </c>
      <c r="I29" s="45">
        <v>0</v>
      </c>
      <c r="J29" s="45">
        <v>495</v>
      </c>
    </row>
    <row r="30" spans="1:10" x14ac:dyDescent="0.2">
      <c r="A30" t="s">
        <v>5</v>
      </c>
      <c r="D30" s="10"/>
      <c r="E30" s="10"/>
      <c r="F30" s="10"/>
      <c r="G30" s="10"/>
      <c r="H30" s="45"/>
      <c r="I30" s="45"/>
      <c r="J30" s="45"/>
    </row>
    <row r="31" spans="1:10" x14ac:dyDescent="0.2">
      <c r="A31" t="s">
        <v>281</v>
      </c>
      <c r="B31" t="s">
        <v>100</v>
      </c>
      <c r="D31" s="10">
        <v>1000</v>
      </c>
      <c r="E31" s="10">
        <v>651.70000000000005</v>
      </c>
      <c r="F31" s="10">
        <v>1125</v>
      </c>
      <c r="G31" s="10">
        <v>857.29</v>
      </c>
      <c r="H31" s="45">
        <v>899.35</v>
      </c>
      <c r="I31" s="45">
        <v>1063</v>
      </c>
      <c r="J31" s="45">
        <v>1018</v>
      </c>
    </row>
    <row r="32" spans="1:10" x14ac:dyDescent="0.2">
      <c r="A32" t="s">
        <v>282</v>
      </c>
      <c r="B32" t="s">
        <v>101</v>
      </c>
      <c r="D32" s="10">
        <v>50</v>
      </c>
      <c r="E32" s="10">
        <v>18.399999999999999</v>
      </c>
      <c r="F32" s="10">
        <v>50</v>
      </c>
      <c r="G32" s="10">
        <v>96.49</v>
      </c>
      <c r="H32" s="45">
        <v>0</v>
      </c>
      <c r="I32" s="45">
        <v>0</v>
      </c>
      <c r="J32" s="45">
        <v>158</v>
      </c>
    </row>
    <row r="33" spans="1:10" x14ac:dyDescent="0.2">
      <c r="A33" t="s">
        <v>165</v>
      </c>
      <c r="D33" s="10"/>
      <c r="E33" s="10"/>
      <c r="F33" s="10"/>
      <c r="G33" s="10"/>
      <c r="H33" s="45"/>
      <c r="I33" s="45"/>
      <c r="J33" s="45"/>
    </row>
    <row r="34" spans="1:10" x14ac:dyDescent="0.2">
      <c r="A34" t="s">
        <v>283</v>
      </c>
      <c r="B34" t="s">
        <v>167</v>
      </c>
      <c r="D34" s="10">
        <v>0</v>
      </c>
      <c r="E34" s="10">
        <v>0</v>
      </c>
      <c r="F34" s="10">
        <v>0</v>
      </c>
      <c r="G34" s="10">
        <v>0</v>
      </c>
      <c r="H34" s="45">
        <v>99</v>
      </c>
      <c r="I34" s="45">
        <v>224</v>
      </c>
      <c r="J34" s="45">
        <v>130</v>
      </c>
    </row>
    <row r="35" spans="1:10" x14ac:dyDescent="0.2">
      <c r="A35" t="s">
        <v>159</v>
      </c>
      <c r="D35" s="10"/>
      <c r="E35" s="10"/>
      <c r="F35" s="10"/>
      <c r="G35" s="10"/>
      <c r="H35" s="45"/>
      <c r="I35" s="45"/>
      <c r="J35" s="45"/>
    </row>
    <row r="36" spans="1:10" x14ac:dyDescent="0.2">
      <c r="A36" t="s">
        <v>284</v>
      </c>
      <c r="B36" t="s">
        <v>162</v>
      </c>
      <c r="D36" s="10">
        <v>0</v>
      </c>
      <c r="E36" s="10">
        <v>0</v>
      </c>
      <c r="F36" s="10">
        <v>0</v>
      </c>
      <c r="G36" s="10">
        <v>0</v>
      </c>
      <c r="H36" s="45">
        <v>0</v>
      </c>
      <c r="I36" s="45">
        <v>140</v>
      </c>
      <c r="J36" s="45">
        <v>0</v>
      </c>
    </row>
    <row r="37" spans="1:10" x14ac:dyDescent="0.2">
      <c r="A37" t="s">
        <v>285</v>
      </c>
      <c r="B37" t="s">
        <v>163</v>
      </c>
      <c r="D37" s="10">
        <v>0</v>
      </c>
      <c r="E37" s="10">
        <v>0</v>
      </c>
      <c r="F37" s="10">
        <v>150</v>
      </c>
      <c r="G37" s="10">
        <v>0</v>
      </c>
      <c r="H37" s="45">
        <v>142</v>
      </c>
      <c r="I37" s="45">
        <v>0</v>
      </c>
      <c r="J37" s="45">
        <v>0</v>
      </c>
    </row>
    <row r="38" spans="1:10" x14ac:dyDescent="0.2">
      <c r="A38" t="s">
        <v>146</v>
      </c>
      <c r="D38" s="10"/>
      <c r="E38" s="10"/>
      <c r="F38" s="10"/>
      <c r="G38" s="10"/>
      <c r="H38" s="45"/>
      <c r="I38" s="45"/>
      <c r="J38" s="45"/>
    </row>
    <row r="39" spans="1:10" x14ac:dyDescent="0.2">
      <c r="A39" t="s">
        <v>286</v>
      </c>
      <c r="B39" t="s">
        <v>96</v>
      </c>
      <c r="D39" s="10">
        <v>0</v>
      </c>
      <c r="E39" s="10">
        <v>0</v>
      </c>
      <c r="F39" s="10">
        <v>0</v>
      </c>
      <c r="G39" s="10">
        <v>1040.8499999999999</v>
      </c>
      <c r="H39" s="45">
        <v>1129.95</v>
      </c>
      <c r="I39" s="45">
        <v>858</v>
      </c>
      <c r="J39" s="45">
        <v>1111</v>
      </c>
    </row>
    <row r="40" spans="1:10" x14ac:dyDescent="0.2">
      <c r="A40" t="s">
        <v>287</v>
      </c>
      <c r="B40" t="s">
        <v>149</v>
      </c>
      <c r="D40" s="10">
        <v>0</v>
      </c>
      <c r="E40" s="10">
        <v>0</v>
      </c>
      <c r="F40" s="10">
        <v>0</v>
      </c>
      <c r="G40" s="10">
        <v>636</v>
      </c>
      <c r="H40" s="45">
        <v>634</v>
      </c>
      <c r="I40" s="45">
        <v>449</v>
      </c>
      <c r="J40" s="45">
        <v>613</v>
      </c>
    </row>
    <row r="41" spans="1:10" x14ac:dyDescent="0.2">
      <c r="A41" t="s">
        <v>288</v>
      </c>
      <c r="B41" t="s">
        <v>150</v>
      </c>
      <c r="D41" s="10">
        <v>2800</v>
      </c>
      <c r="E41" s="10">
        <v>2534</v>
      </c>
      <c r="F41" s="10">
        <v>2800</v>
      </c>
      <c r="G41" s="10">
        <v>2757</v>
      </c>
      <c r="H41" s="45">
        <v>4048</v>
      </c>
      <c r="I41" s="45">
        <v>3052</v>
      </c>
      <c r="J41" s="45">
        <v>4358</v>
      </c>
    </row>
    <row r="42" spans="1:10" x14ac:dyDescent="0.2">
      <c r="A42" t="s">
        <v>138</v>
      </c>
      <c r="D42" s="10"/>
      <c r="E42" s="10"/>
      <c r="F42" s="10"/>
      <c r="G42" s="10"/>
      <c r="H42" s="45"/>
      <c r="I42" s="45"/>
      <c r="J42" s="45"/>
    </row>
    <row r="43" spans="1:10" x14ac:dyDescent="0.2">
      <c r="A43" t="s">
        <v>289</v>
      </c>
      <c r="B43" t="s">
        <v>139</v>
      </c>
      <c r="D43" s="10">
        <v>1500</v>
      </c>
      <c r="E43" s="10">
        <v>1434.4</v>
      </c>
      <c r="F43" s="10">
        <v>1500</v>
      </c>
      <c r="G43" s="10">
        <v>1362.36</v>
      </c>
      <c r="H43" s="45">
        <v>1403.44</v>
      </c>
      <c r="I43" s="45">
        <v>1088</v>
      </c>
      <c r="J43" s="45">
        <v>1282</v>
      </c>
    </row>
    <row r="44" spans="1:10" x14ac:dyDescent="0.2">
      <c r="A44" t="s">
        <v>290</v>
      </c>
      <c r="B44" t="s">
        <v>140</v>
      </c>
      <c r="D44" s="10">
        <v>500</v>
      </c>
      <c r="E44" s="10">
        <v>164.42</v>
      </c>
      <c r="F44" s="10">
        <v>500</v>
      </c>
      <c r="G44" s="10">
        <v>392.59</v>
      </c>
      <c r="H44" s="45">
        <v>186.07</v>
      </c>
      <c r="I44" s="45">
        <v>168</v>
      </c>
      <c r="J44" s="45">
        <v>157</v>
      </c>
    </row>
    <row r="45" spans="1:10" x14ac:dyDescent="0.2">
      <c r="A45" t="s">
        <v>291</v>
      </c>
      <c r="B45" t="s">
        <v>141</v>
      </c>
      <c r="D45" s="10">
        <v>3500</v>
      </c>
      <c r="E45" s="10">
        <v>3283.87</v>
      </c>
      <c r="F45" s="10">
        <v>3500</v>
      </c>
      <c r="G45" s="10">
        <v>3532.28</v>
      </c>
      <c r="H45" s="45">
        <v>2315.08</v>
      </c>
      <c r="I45" s="45">
        <v>3021</v>
      </c>
      <c r="J45" s="45">
        <v>2597</v>
      </c>
    </row>
    <row r="46" spans="1:10" x14ac:dyDescent="0.2">
      <c r="A46" t="s">
        <v>292</v>
      </c>
      <c r="B46" t="s">
        <v>143</v>
      </c>
      <c r="D46" s="10">
        <v>500</v>
      </c>
      <c r="E46" s="10">
        <v>197.21</v>
      </c>
      <c r="F46" s="10">
        <v>500</v>
      </c>
      <c r="G46" s="10">
        <v>436.54</v>
      </c>
      <c r="H46" s="45">
        <v>234.02</v>
      </c>
      <c r="I46" s="45">
        <v>209</v>
      </c>
      <c r="J46" s="45">
        <v>212</v>
      </c>
    </row>
    <row r="47" spans="1:10" x14ac:dyDescent="0.2">
      <c r="A47" t="s">
        <v>585</v>
      </c>
      <c r="D47" s="10"/>
      <c r="E47" s="10"/>
      <c r="F47" s="10"/>
      <c r="G47" s="10"/>
      <c r="H47" s="45"/>
      <c r="I47" s="45"/>
      <c r="J47" s="45"/>
    </row>
    <row r="48" spans="1:10" x14ac:dyDescent="0.2">
      <c r="A48" t="s">
        <v>586</v>
      </c>
      <c r="B48" t="s">
        <v>129</v>
      </c>
      <c r="D48" s="10">
        <v>5000</v>
      </c>
      <c r="E48" s="10">
        <v>0</v>
      </c>
      <c r="F48" s="10">
        <v>5000</v>
      </c>
      <c r="G48" s="10"/>
      <c r="H48" s="45">
        <v>1878.97</v>
      </c>
      <c r="I48" s="45">
        <v>0</v>
      </c>
      <c r="J48" s="45">
        <v>14726</v>
      </c>
    </row>
    <row r="49" spans="1:10" x14ac:dyDescent="0.2">
      <c r="A49" t="s">
        <v>132</v>
      </c>
      <c r="D49" s="10"/>
      <c r="E49" s="10"/>
      <c r="F49" s="10"/>
      <c r="G49" s="10"/>
      <c r="H49" s="45"/>
      <c r="I49" s="45"/>
      <c r="J49" s="45"/>
    </row>
    <row r="50" spans="1:10" x14ac:dyDescent="0.2">
      <c r="A50" t="s">
        <v>293</v>
      </c>
      <c r="B50" t="s">
        <v>133</v>
      </c>
      <c r="D50" s="10">
        <v>0</v>
      </c>
      <c r="E50" s="10">
        <v>0</v>
      </c>
      <c r="F50" s="10">
        <v>1000</v>
      </c>
      <c r="G50" s="10">
        <v>29825</v>
      </c>
      <c r="H50" s="45">
        <v>6463</v>
      </c>
      <c r="I50" s="45">
        <v>0</v>
      </c>
      <c r="J50" s="45">
        <v>0</v>
      </c>
    </row>
    <row r="51" spans="1:10" x14ac:dyDescent="0.2">
      <c r="A51" t="s">
        <v>628</v>
      </c>
      <c r="B51" t="s">
        <v>135</v>
      </c>
      <c r="D51" s="10">
        <v>0</v>
      </c>
      <c r="E51" s="10">
        <v>0</v>
      </c>
      <c r="F51" s="10">
        <v>0</v>
      </c>
      <c r="G51" s="10">
        <v>95.35</v>
      </c>
      <c r="H51" s="45">
        <v>152.75</v>
      </c>
      <c r="I51" s="45">
        <v>70</v>
      </c>
      <c r="J51" s="45">
        <v>0</v>
      </c>
    </row>
    <row r="52" spans="1:10" x14ac:dyDescent="0.2">
      <c r="A52" t="s">
        <v>294</v>
      </c>
      <c r="B52" t="s">
        <v>136</v>
      </c>
      <c r="D52" s="10">
        <v>1500</v>
      </c>
      <c r="E52" s="10">
        <v>2932.15</v>
      </c>
      <c r="F52" s="10">
        <v>3000</v>
      </c>
      <c r="G52" s="10">
        <v>1825.7</v>
      </c>
      <c r="H52" s="45">
        <v>3331.24</v>
      </c>
      <c r="I52" s="45">
        <v>3026</v>
      </c>
      <c r="J52" s="45">
        <v>1280</v>
      </c>
    </row>
    <row r="53" spans="1:10" x14ac:dyDescent="0.2">
      <c r="A53" t="s">
        <v>127</v>
      </c>
      <c r="D53" s="10"/>
      <c r="E53" s="10"/>
      <c r="F53" s="10"/>
      <c r="G53" s="10"/>
      <c r="H53" s="45"/>
      <c r="I53" s="45"/>
      <c r="J53" s="45"/>
    </row>
    <row r="54" spans="1:10" x14ac:dyDescent="0.2">
      <c r="A54" t="s">
        <v>295</v>
      </c>
      <c r="B54" t="s">
        <v>129</v>
      </c>
      <c r="D54" s="10">
        <v>15000</v>
      </c>
      <c r="E54" s="10">
        <v>15000.48</v>
      </c>
      <c r="F54" s="10">
        <v>15000</v>
      </c>
      <c r="G54" s="10">
        <v>15000.48</v>
      </c>
      <c r="H54" s="45">
        <v>15000.48</v>
      </c>
      <c r="I54" s="45">
        <v>15000</v>
      </c>
      <c r="J54" s="45">
        <v>15000</v>
      </c>
    </row>
    <row r="55" spans="1:10" x14ac:dyDescent="0.2">
      <c r="A55" t="s">
        <v>125</v>
      </c>
      <c r="D55" s="10"/>
      <c r="E55" s="10"/>
      <c r="F55" s="10"/>
      <c r="G55" s="10"/>
      <c r="H55" s="45"/>
      <c r="I55" s="45"/>
      <c r="J55" s="45"/>
    </row>
    <row r="56" spans="1:10" x14ac:dyDescent="0.2">
      <c r="A56" t="s">
        <v>296</v>
      </c>
      <c r="B56" t="s">
        <v>126</v>
      </c>
      <c r="D56" s="10">
        <v>5000</v>
      </c>
      <c r="E56" s="10">
        <v>5000</v>
      </c>
      <c r="F56" s="10">
        <v>5000</v>
      </c>
      <c r="G56" s="10">
        <v>5000</v>
      </c>
      <c r="H56" s="45">
        <v>0</v>
      </c>
      <c r="I56" s="45">
        <v>5000</v>
      </c>
      <c r="J56" s="45">
        <v>0</v>
      </c>
    </row>
    <row r="57" spans="1:10" x14ac:dyDescent="0.2">
      <c r="A57" t="s">
        <v>120</v>
      </c>
      <c r="D57" s="10"/>
      <c r="E57" s="10"/>
      <c r="F57" s="10"/>
      <c r="G57" s="10"/>
      <c r="H57" s="45"/>
      <c r="I57" s="45"/>
      <c r="J57" s="45"/>
    </row>
    <row r="58" spans="1:10" x14ac:dyDescent="0.2">
      <c r="A58" t="s">
        <v>297</v>
      </c>
      <c r="B58" t="s">
        <v>104</v>
      </c>
      <c r="D58" s="10">
        <v>500</v>
      </c>
      <c r="E58" s="10">
        <v>528</v>
      </c>
      <c r="F58" s="10">
        <v>1200</v>
      </c>
      <c r="G58" s="10">
        <v>1049.02</v>
      </c>
      <c r="H58" s="45">
        <v>194.75</v>
      </c>
      <c r="I58" s="45">
        <v>604</v>
      </c>
      <c r="J58" s="45">
        <v>1186</v>
      </c>
    </row>
    <row r="59" spans="1:10" x14ac:dyDescent="0.2">
      <c r="A59" t="s">
        <v>298</v>
      </c>
      <c r="B59" t="s">
        <v>714</v>
      </c>
      <c r="D59" s="10">
        <v>2000</v>
      </c>
      <c r="E59" s="10">
        <v>1976.31</v>
      </c>
      <c r="F59" s="10">
        <v>2000</v>
      </c>
      <c r="G59" s="10">
        <v>1776.94</v>
      </c>
      <c r="H59" s="45">
        <v>1226.0899999999999</v>
      </c>
      <c r="I59" s="45">
        <v>2158</v>
      </c>
      <c r="J59" s="45">
        <v>2360</v>
      </c>
    </row>
    <row r="60" spans="1:10" x14ac:dyDescent="0.2">
      <c r="A60" t="s">
        <v>971</v>
      </c>
      <c r="B60" t="s">
        <v>644</v>
      </c>
      <c r="D60" s="10">
        <v>1500</v>
      </c>
      <c r="E60" s="10">
        <v>0</v>
      </c>
      <c r="F60" s="10">
        <v>0</v>
      </c>
      <c r="G60" s="10">
        <v>45</v>
      </c>
      <c r="H60" s="45">
        <v>0</v>
      </c>
      <c r="I60" s="45">
        <v>0</v>
      </c>
      <c r="J60" s="45">
        <v>0</v>
      </c>
    </row>
    <row r="61" spans="1:10" x14ac:dyDescent="0.2">
      <c r="A61" t="s">
        <v>299</v>
      </c>
      <c r="B61" t="s">
        <v>102</v>
      </c>
      <c r="D61" s="10">
        <v>4000</v>
      </c>
      <c r="E61" s="10">
        <v>2300.56</v>
      </c>
      <c r="F61" s="10">
        <v>4400</v>
      </c>
      <c r="G61" s="10">
        <v>1869.31</v>
      </c>
      <c r="H61" s="45">
        <v>5537.66</v>
      </c>
      <c r="I61" s="45">
        <f>3393+650</f>
        <v>4043</v>
      </c>
      <c r="J61" s="45">
        <v>1614</v>
      </c>
    </row>
    <row r="62" spans="1:10" x14ac:dyDescent="0.2">
      <c r="A62" t="s">
        <v>300</v>
      </c>
      <c r="B62" t="s">
        <v>121</v>
      </c>
      <c r="D62" s="10">
        <v>500</v>
      </c>
      <c r="E62" s="10">
        <v>0</v>
      </c>
      <c r="F62" s="10">
        <v>0</v>
      </c>
      <c r="G62" s="10">
        <v>61.39</v>
      </c>
      <c r="H62" s="45">
        <v>196</v>
      </c>
      <c r="I62" s="45">
        <v>1060</v>
      </c>
      <c r="J62" s="45">
        <v>640</v>
      </c>
    </row>
    <row r="63" spans="1:10" x14ac:dyDescent="0.2">
      <c r="D63" s="10"/>
      <c r="E63" s="10"/>
      <c r="F63" s="19"/>
      <c r="G63" s="19"/>
      <c r="H63" s="45"/>
      <c r="I63" s="45"/>
      <c r="J63" s="45"/>
    </row>
    <row r="64" spans="1:10" x14ac:dyDescent="0.2">
      <c r="A64" s="36"/>
      <c r="C64" t="s">
        <v>65</v>
      </c>
      <c r="D64" s="10">
        <f t="shared" ref="D64:J64" si="0">SUM(D4:D62)</f>
        <v>69735.5</v>
      </c>
      <c r="E64" s="10">
        <f t="shared" si="0"/>
        <v>50259.549999999996</v>
      </c>
      <c r="F64" s="10">
        <f t="shared" si="0"/>
        <v>70800</v>
      </c>
      <c r="G64" s="10">
        <f t="shared" si="0"/>
        <v>91032.010000000009</v>
      </c>
      <c r="H64" s="45">
        <f t="shared" si="0"/>
        <v>69829.64</v>
      </c>
      <c r="I64" s="45">
        <f t="shared" si="0"/>
        <v>72830</v>
      </c>
      <c r="J64" s="45">
        <f t="shared" si="0"/>
        <v>70926</v>
      </c>
    </row>
    <row r="65" spans="1:10" x14ac:dyDescent="0.2">
      <c r="A65" s="43"/>
      <c r="J65" s="36"/>
    </row>
    <row r="66" spans="1:10" x14ac:dyDescent="0.2">
      <c r="A66" s="36"/>
    </row>
    <row r="67" spans="1:10" x14ac:dyDescent="0.2">
      <c r="A67" s="36" t="s">
        <v>950</v>
      </c>
    </row>
  </sheetData>
  <phoneticPr fontId="2" type="noConversion"/>
  <pageMargins left="0.25" right="0.25" top="0.75" bottom="0.75" header="0.3" footer="0.3"/>
  <pageSetup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J10" sqref="J10"/>
    </sheetView>
  </sheetViews>
  <sheetFormatPr defaultRowHeight="12.75" x14ac:dyDescent="0.2"/>
  <cols>
    <col min="1" max="1" width="20.140625" customWidth="1"/>
    <col min="2" max="2" width="20.85546875" bestFit="1" customWidth="1"/>
    <col min="3" max="4" width="11.7109375" customWidth="1"/>
    <col min="5" max="5" width="10.28515625" bestFit="1" customWidth="1"/>
    <col min="6" max="6" width="12.140625" customWidth="1"/>
    <col min="7" max="9" width="10.28515625" bestFit="1" customWidth="1"/>
  </cols>
  <sheetData>
    <row r="1" spans="1:9" ht="15.75" x14ac:dyDescent="0.25">
      <c r="B1" s="14" t="s">
        <v>916</v>
      </c>
      <c r="C1" s="1">
        <v>2015</v>
      </c>
      <c r="D1" s="51">
        <v>2014</v>
      </c>
      <c r="E1" s="51">
        <v>2014</v>
      </c>
      <c r="F1" s="51">
        <v>2013</v>
      </c>
      <c r="G1" s="51">
        <v>2012</v>
      </c>
      <c r="H1" s="51">
        <v>2011</v>
      </c>
      <c r="I1" s="17">
        <v>2010</v>
      </c>
    </row>
    <row r="2" spans="1:9" x14ac:dyDescent="0.2">
      <c r="C2" s="1" t="s">
        <v>596</v>
      </c>
      <c r="D2" s="51" t="s">
        <v>1005</v>
      </c>
      <c r="E2" s="51" t="s">
        <v>596</v>
      </c>
      <c r="F2" s="51" t="s">
        <v>1002</v>
      </c>
      <c r="G2" s="70" t="s">
        <v>597</v>
      </c>
      <c r="H2" s="51" t="s">
        <v>597</v>
      </c>
      <c r="I2" s="51" t="s">
        <v>782</v>
      </c>
    </row>
    <row r="3" spans="1:9" x14ac:dyDescent="0.2">
      <c r="B3" s="33"/>
      <c r="C3" s="33"/>
      <c r="D3" s="33"/>
      <c r="E3" s="10"/>
      <c r="F3" s="10"/>
      <c r="G3" s="34"/>
      <c r="H3" s="34"/>
      <c r="I3" s="34"/>
    </row>
    <row r="4" spans="1:9" x14ac:dyDescent="0.2">
      <c r="A4" t="s">
        <v>89</v>
      </c>
      <c r="E4" s="10"/>
      <c r="F4" s="10"/>
      <c r="G4" s="17"/>
      <c r="H4" s="17"/>
      <c r="I4" s="17"/>
    </row>
    <row r="5" spans="1:9" x14ac:dyDescent="0.2">
      <c r="A5" t="s">
        <v>917</v>
      </c>
      <c r="B5" t="s">
        <v>918</v>
      </c>
      <c r="C5" s="10">
        <v>8000</v>
      </c>
      <c r="D5" s="10">
        <v>7824</v>
      </c>
      <c r="E5" s="10">
        <v>7824</v>
      </c>
      <c r="F5" s="10">
        <v>7824</v>
      </c>
      <c r="G5" s="10">
        <v>7824</v>
      </c>
      <c r="H5" s="10">
        <v>7824</v>
      </c>
      <c r="I5" s="10">
        <v>7824</v>
      </c>
    </row>
    <row r="6" spans="1:9" x14ac:dyDescent="0.2">
      <c r="A6" s="29"/>
      <c r="C6" s="10"/>
      <c r="D6" s="10"/>
      <c r="E6" s="10"/>
      <c r="F6" s="10"/>
      <c r="G6" s="10"/>
      <c r="H6" s="10"/>
      <c r="I6" s="10"/>
    </row>
    <row r="7" spans="1:9" x14ac:dyDescent="0.2">
      <c r="B7" t="s">
        <v>919</v>
      </c>
      <c r="C7" s="10">
        <v>8000</v>
      </c>
      <c r="D7" s="10">
        <v>7824</v>
      </c>
      <c r="E7" s="10">
        <v>7824</v>
      </c>
      <c r="F7" s="10">
        <v>7824</v>
      </c>
      <c r="G7" s="10">
        <v>7824</v>
      </c>
      <c r="H7" s="10">
        <v>7824</v>
      </c>
      <c r="I7" s="10">
        <v>7824</v>
      </c>
    </row>
    <row r="8" spans="1:9" x14ac:dyDescent="0.2">
      <c r="A8" s="29"/>
      <c r="E8" s="10"/>
      <c r="F8" s="10"/>
      <c r="G8" s="10"/>
      <c r="H8" s="10"/>
      <c r="I8" s="10"/>
    </row>
    <row r="9" spans="1:9" x14ac:dyDescent="0.2">
      <c r="A9" s="29"/>
      <c r="E9" s="10"/>
      <c r="F9" s="10"/>
      <c r="G9" s="10"/>
      <c r="H9" s="10"/>
      <c r="I9" s="10"/>
    </row>
    <row r="10" spans="1:9" x14ac:dyDescent="0.2">
      <c r="E10" s="10"/>
      <c r="F10" s="10"/>
      <c r="G10" s="10"/>
      <c r="H10" s="10"/>
      <c r="I10" s="10"/>
    </row>
    <row r="11" spans="1:9" x14ac:dyDescent="0.2">
      <c r="A11" s="29" t="s">
        <v>945</v>
      </c>
      <c r="E11" s="10"/>
      <c r="F11" s="10"/>
      <c r="G11" s="10"/>
      <c r="H11" s="10"/>
      <c r="I11" s="10"/>
    </row>
    <row r="12" spans="1:9" x14ac:dyDescent="0.2">
      <c r="A12" t="s">
        <v>1040</v>
      </c>
      <c r="E12" s="10"/>
      <c r="F12" s="10"/>
      <c r="G12" s="10"/>
      <c r="H12" s="10"/>
      <c r="I12" s="10"/>
    </row>
    <row r="13" spans="1:9" x14ac:dyDescent="0.2">
      <c r="A13" s="29"/>
      <c r="E13" s="10"/>
      <c r="F13" s="10"/>
      <c r="G13" s="10"/>
      <c r="H13" s="10"/>
      <c r="I13" s="10"/>
    </row>
    <row r="14" spans="1:9" x14ac:dyDescent="0.2">
      <c r="A14" s="29"/>
      <c r="E14" s="10"/>
      <c r="F14" s="10"/>
      <c r="G14" s="10"/>
      <c r="H14" s="10"/>
      <c r="I14" s="10"/>
    </row>
    <row r="15" spans="1:9" x14ac:dyDescent="0.2">
      <c r="A15" s="29"/>
      <c r="B15" s="29"/>
      <c r="C15" s="29"/>
      <c r="D15" s="29"/>
      <c r="E15" s="10"/>
      <c r="F15" s="10"/>
      <c r="G15" s="10"/>
      <c r="H15" s="10"/>
      <c r="I15" s="10"/>
    </row>
    <row r="16" spans="1:9" x14ac:dyDescent="0.2">
      <c r="A16" s="29"/>
      <c r="B16" s="29"/>
      <c r="C16" s="29"/>
      <c r="D16" s="29"/>
      <c r="E16" s="10"/>
      <c r="F16" s="10"/>
      <c r="G16" s="10"/>
      <c r="H16" s="10"/>
      <c r="I16" s="10"/>
    </row>
    <row r="17" spans="1:9" x14ac:dyDescent="0.2">
      <c r="A17" s="29"/>
      <c r="B17" s="29"/>
      <c r="C17" s="29"/>
      <c r="D17" s="29"/>
      <c r="E17" s="10"/>
      <c r="F17" s="10"/>
      <c r="G17" s="10"/>
      <c r="H17" s="10"/>
      <c r="I17" s="10"/>
    </row>
    <row r="18" spans="1:9" x14ac:dyDescent="0.2">
      <c r="E18" s="10"/>
      <c r="F18" s="10"/>
      <c r="G18" s="10"/>
      <c r="H18" s="10"/>
      <c r="I18" s="10"/>
    </row>
    <row r="19" spans="1:9" x14ac:dyDescent="0.2">
      <c r="A19" s="29"/>
      <c r="E19" s="10"/>
      <c r="F19" s="10"/>
      <c r="G19" s="10"/>
      <c r="H19" s="10"/>
      <c r="I19" s="10"/>
    </row>
    <row r="20" spans="1:9" x14ac:dyDescent="0.2">
      <c r="A20" s="29"/>
      <c r="E20" s="10"/>
      <c r="F20" s="10"/>
      <c r="G20" s="10"/>
      <c r="H20" s="10"/>
      <c r="I20" s="10"/>
    </row>
    <row r="21" spans="1:9" x14ac:dyDescent="0.2">
      <c r="E21" s="10"/>
      <c r="F21" s="10"/>
      <c r="G21" s="10"/>
      <c r="H21" s="10"/>
      <c r="I21" s="10"/>
    </row>
    <row r="22" spans="1:9" x14ac:dyDescent="0.2">
      <c r="A22" s="29"/>
      <c r="B22" s="29"/>
      <c r="C22" s="29"/>
      <c r="D22" s="29"/>
      <c r="E22" s="10"/>
      <c r="F22" s="10"/>
      <c r="G22" s="10"/>
      <c r="H22" s="10"/>
      <c r="I22" s="10"/>
    </row>
    <row r="23" spans="1:9" x14ac:dyDescent="0.2">
      <c r="A23" s="29"/>
      <c r="E23" s="10"/>
      <c r="F23" s="10"/>
      <c r="G23" s="10"/>
      <c r="H23" s="10"/>
      <c r="I23" s="10"/>
    </row>
    <row r="24" spans="1:9" x14ac:dyDescent="0.2">
      <c r="A24" s="29"/>
      <c r="E24" s="10"/>
      <c r="F24" s="10"/>
      <c r="G24" s="10"/>
      <c r="H24" s="10"/>
      <c r="I24" s="10"/>
    </row>
    <row r="25" spans="1:9" x14ac:dyDescent="0.2">
      <c r="A25" s="29"/>
      <c r="B25" s="29"/>
      <c r="C25" s="29"/>
      <c r="D25" s="29"/>
      <c r="E25" s="10"/>
      <c r="F25" s="10"/>
      <c r="G25" s="10"/>
      <c r="H25" s="10"/>
      <c r="I25" s="10"/>
    </row>
    <row r="26" spans="1:9" x14ac:dyDescent="0.2">
      <c r="B26" s="26"/>
      <c r="C26" s="26"/>
      <c r="D26" s="26"/>
      <c r="E26" s="10"/>
      <c r="F26" s="10"/>
      <c r="G26" s="10"/>
      <c r="H26" s="10"/>
      <c r="I26" s="10"/>
    </row>
  </sheetData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D5" sqref="D5"/>
    </sheetView>
  </sheetViews>
  <sheetFormatPr defaultRowHeight="12.75" x14ac:dyDescent="0.2"/>
  <cols>
    <col min="1" max="1" width="16.7109375" customWidth="1"/>
    <col min="2" max="2" width="27.85546875" bestFit="1" customWidth="1"/>
    <col min="3" max="4" width="11.7109375" customWidth="1"/>
    <col min="6" max="6" width="11.42578125" bestFit="1" customWidth="1"/>
  </cols>
  <sheetData>
    <row r="1" spans="1:11" ht="15.75" x14ac:dyDescent="0.25">
      <c r="B1" s="14" t="s">
        <v>941</v>
      </c>
      <c r="C1" s="1">
        <v>2015</v>
      </c>
      <c r="D1" s="51">
        <v>2014</v>
      </c>
      <c r="E1" s="51">
        <v>2014</v>
      </c>
      <c r="F1" s="51">
        <v>2013</v>
      </c>
      <c r="G1" s="51"/>
      <c r="H1" s="51"/>
      <c r="I1" s="17"/>
      <c r="J1" s="51"/>
      <c r="K1" s="17"/>
    </row>
    <row r="2" spans="1:11" x14ac:dyDescent="0.2">
      <c r="C2" s="1" t="s">
        <v>596</v>
      </c>
      <c r="D2" s="51" t="s">
        <v>1005</v>
      </c>
      <c r="E2" s="51" t="s">
        <v>596</v>
      </c>
      <c r="F2" s="51" t="s">
        <v>1002</v>
      </c>
      <c r="G2" s="70"/>
      <c r="H2" s="51"/>
      <c r="I2" s="51"/>
      <c r="J2" s="51"/>
      <c r="K2" s="18"/>
    </row>
    <row r="3" spans="1:11" x14ac:dyDescent="0.2">
      <c r="B3" s="33"/>
      <c r="C3" s="33"/>
      <c r="D3" s="33"/>
      <c r="E3" s="10"/>
      <c r="F3" s="34"/>
      <c r="G3" s="34"/>
      <c r="H3" s="34"/>
      <c r="I3" s="34"/>
      <c r="J3" s="35"/>
      <c r="K3" s="23"/>
    </row>
    <row r="4" spans="1:11" x14ac:dyDescent="0.2">
      <c r="A4" t="s">
        <v>89</v>
      </c>
      <c r="E4" s="10"/>
      <c r="F4" s="17"/>
      <c r="G4" s="17"/>
      <c r="H4" s="17"/>
      <c r="I4" s="17"/>
      <c r="J4" s="1"/>
      <c r="K4" s="18"/>
    </row>
    <row r="5" spans="1:11" x14ac:dyDescent="0.2">
      <c r="A5" s="29" t="s">
        <v>943</v>
      </c>
      <c r="B5" s="29" t="s">
        <v>697</v>
      </c>
      <c r="C5" s="72">
        <v>500</v>
      </c>
      <c r="D5" s="72">
        <v>0</v>
      </c>
      <c r="E5" s="10">
        <v>500</v>
      </c>
      <c r="F5" s="10"/>
      <c r="G5" s="10"/>
      <c r="H5" s="10"/>
      <c r="I5" s="10"/>
      <c r="J5" s="10"/>
      <c r="K5" s="10"/>
    </row>
    <row r="6" spans="1:11" x14ac:dyDescent="0.2">
      <c r="A6" s="29" t="s">
        <v>973</v>
      </c>
      <c r="B6" s="29" t="s">
        <v>100</v>
      </c>
      <c r="C6" s="72">
        <v>0</v>
      </c>
      <c r="D6" s="72">
        <v>41.66</v>
      </c>
      <c r="E6" s="10">
        <v>0</v>
      </c>
      <c r="F6" s="10">
        <v>41.66</v>
      </c>
      <c r="G6" s="10"/>
      <c r="H6" s="10"/>
      <c r="I6" s="10"/>
      <c r="J6" s="10"/>
      <c r="K6" s="10"/>
    </row>
    <row r="7" spans="1:11" x14ac:dyDescent="0.2">
      <c r="A7" s="29" t="s">
        <v>942</v>
      </c>
      <c r="B7" s="29" t="s">
        <v>102</v>
      </c>
      <c r="C7" s="72">
        <v>0</v>
      </c>
      <c r="D7" s="72">
        <v>0</v>
      </c>
      <c r="E7" s="10">
        <v>500</v>
      </c>
      <c r="F7" s="10"/>
      <c r="G7" s="10"/>
      <c r="H7" s="10"/>
      <c r="I7" s="10"/>
      <c r="J7" s="10"/>
      <c r="K7" s="10"/>
    </row>
    <row r="8" spans="1:11" x14ac:dyDescent="0.2">
      <c r="A8" s="29"/>
      <c r="B8" s="29"/>
      <c r="C8" s="72"/>
      <c r="D8" s="72"/>
      <c r="E8" s="10"/>
      <c r="F8" s="10"/>
      <c r="G8" s="10"/>
      <c r="H8" s="10"/>
      <c r="I8" s="10"/>
      <c r="J8" s="10"/>
      <c r="K8" s="10"/>
    </row>
    <row r="9" spans="1:11" x14ac:dyDescent="0.2">
      <c r="B9" t="s">
        <v>65</v>
      </c>
      <c r="C9" s="10">
        <v>500</v>
      </c>
      <c r="D9" s="10">
        <f>SUM(D5:D8)</f>
        <v>41.66</v>
      </c>
      <c r="E9" s="10">
        <f>SUM(E5:E7)</f>
        <v>1000</v>
      </c>
      <c r="F9" s="10">
        <f>SUM(F5:F7)</f>
        <v>41.66</v>
      </c>
      <c r="G9" s="10"/>
      <c r="H9" s="10"/>
      <c r="I9" s="10"/>
      <c r="J9" s="10"/>
      <c r="K9" s="10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35</vt:i4>
      </vt:variant>
    </vt:vector>
  </HeadingPairs>
  <TitlesOfParts>
    <vt:vector size="35" baseType="lpstr">
      <vt:lpstr>BUDGET SUMMARY</vt:lpstr>
      <vt:lpstr>General Fund Revenues</vt:lpstr>
      <vt:lpstr>Elections</vt:lpstr>
      <vt:lpstr>Council</vt:lpstr>
      <vt:lpstr>Administration</vt:lpstr>
      <vt:lpstr>Police</vt:lpstr>
      <vt:lpstr>Fire</vt:lpstr>
      <vt:lpstr>Ambulance</vt:lpstr>
      <vt:lpstr>Emergency Mgmt</vt:lpstr>
      <vt:lpstr>Animal Control</vt:lpstr>
      <vt:lpstr>Streets</vt:lpstr>
      <vt:lpstr>Parks</vt:lpstr>
      <vt:lpstr>SWIM Center</vt:lpstr>
      <vt:lpstr>Recreation</vt:lpstr>
      <vt:lpstr>Old Pool</vt:lpstr>
      <vt:lpstr>Special Revenue Funds-Fest Bldg</vt:lpstr>
      <vt:lpstr>EDA</vt:lpstr>
      <vt:lpstr>Tax Abatement</vt:lpstr>
      <vt:lpstr>Street Infrastructure</vt:lpstr>
      <vt:lpstr>Capital Equipment</vt:lpstr>
      <vt:lpstr>Electric Infrastructure</vt:lpstr>
      <vt:lpstr>Contingency</vt:lpstr>
      <vt:lpstr>Sewer Infrastructure</vt:lpstr>
      <vt:lpstr>Water Infrastructure</vt:lpstr>
      <vt:lpstr>Cable TV</vt:lpstr>
      <vt:lpstr>Enterprise Funds-Electric</vt:lpstr>
      <vt:lpstr>Enterprise Funds-Water</vt:lpstr>
      <vt:lpstr>Enterprise Funds-Sewer</vt:lpstr>
      <vt:lpstr>Library</vt:lpstr>
      <vt:lpstr>Enterprise Funds-Liquor Store</vt:lpstr>
      <vt:lpstr>Debt Service Summary</vt:lpstr>
      <vt:lpstr>GO 2005A</vt:lpstr>
      <vt:lpstr>TIF GO 2007A</vt:lpstr>
      <vt:lpstr>Pool Bonds 2012</vt:lpstr>
      <vt:lpstr>Hwy 44 Bond 2013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Erin Konkel</cp:lastModifiedBy>
  <cp:lastPrinted>2014-12-09T17:48:25Z</cp:lastPrinted>
  <dcterms:created xsi:type="dcterms:W3CDTF">2007-07-11T17:02:23Z</dcterms:created>
  <dcterms:modified xsi:type="dcterms:W3CDTF">2014-12-09T17:58:36Z</dcterms:modified>
</cp:coreProperties>
</file>