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comments9.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1310" windowHeight="6195" firstSheet="3" activeTab="23"/>
  </bookViews>
  <sheets>
    <sheet name="BUDGET SUMMARY" sheetId="38" r:id="rId1"/>
    <sheet name="General Fund Revenues" sheetId="37" r:id="rId2"/>
    <sheet name="Elections" sheetId="36" r:id="rId3"/>
    <sheet name="Council" sheetId="2" r:id="rId4"/>
    <sheet name="Administration" sheetId="3" r:id="rId5"/>
    <sheet name="Police" sheetId="8" r:id="rId6"/>
    <sheet name="Fire" sheetId="7" r:id="rId7"/>
    <sheet name="Streets" sheetId="5" r:id="rId8"/>
    <sheet name="Parks" sheetId="4" r:id="rId9"/>
    <sheet name="SWIM Center" sheetId="13" r:id="rId10"/>
    <sheet name="Summer Recreation" sheetId="12" r:id="rId11"/>
    <sheet name="Cable TV" sheetId="10" r:id="rId12"/>
    <sheet name="Enterprise Funds-Electric" sheetId="21" r:id="rId13"/>
    <sheet name="Enterprise Funds-Sewer" sheetId="19" r:id="rId14"/>
    <sheet name="Enterprise Funds-Water" sheetId="20" r:id="rId15"/>
    <sheet name="Library" sheetId="11" r:id="rId16"/>
    <sheet name="Enterprise Funds-Liquor Store" sheetId="18" r:id="rId17"/>
    <sheet name="Special Revenue Funds-Fest Bldg" sheetId="23" r:id="rId18"/>
    <sheet name="GO 2005A" sheetId="40" r:id="rId19"/>
    <sheet name="Pool Bonds 2012" sheetId="41" r:id="rId20"/>
    <sheet name="TIF GO 2007A" sheetId="42" r:id="rId21"/>
    <sheet name="Animal Control" sheetId="45" r:id="rId22"/>
    <sheet name="Old Pool" sheetId="46" r:id="rId23"/>
    <sheet name="Employees" sheetId="50" r:id="rId24"/>
  </sheets>
  <calcPr calcId="125725"/>
</workbook>
</file>

<file path=xl/calcChain.xml><?xml version="1.0" encoding="utf-8"?>
<calcChain xmlns="http://schemas.openxmlformats.org/spreadsheetml/2006/main">
  <c r="E10" i="46"/>
  <c r="E3" i="18" l="1"/>
  <c r="E6" i="11"/>
  <c r="E11" i="19"/>
  <c r="E14" i="21"/>
  <c r="J29" i="10"/>
  <c r="H29"/>
  <c r="F29"/>
  <c r="D29"/>
  <c r="E35" i="8" l="1"/>
  <c r="E46" i="37"/>
  <c r="D38" i="23"/>
  <c r="D37"/>
  <c r="D66" i="18"/>
  <c r="D65"/>
  <c r="D26"/>
  <c r="D47" i="11"/>
  <c r="D21"/>
  <c r="D56" i="20"/>
  <c r="D58"/>
  <c r="D57"/>
  <c r="D26"/>
  <c r="D59" i="19"/>
  <c r="D58"/>
  <c r="D26"/>
  <c r="D64" i="21"/>
  <c r="D66"/>
  <c r="D65"/>
  <c r="D30"/>
  <c r="D9" i="12"/>
  <c r="D46" i="13"/>
  <c r="D47"/>
  <c r="D44" i="4"/>
  <c r="D46"/>
  <c r="D45"/>
  <c r="D16" i="5"/>
  <c r="D49"/>
  <c r="D51"/>
  <c r="D50"/>
  <c r="D51" i="7"/>
  <c r="D49"/>
  <c r="D50"/>
  <c r="D12"/>
  <c r="D46" i="8"/>
  <c r="D47"/>
  <c r="D48"/>
  <c r="D17"/>
  <c r="D53" i="3"/>
  <c r="D52"/>
  <c r="D16"/>
  <c r="D24" i="2"/>
  <c r="D11"/>
  <c r="D13" i="5"/>
  <c r="E29" i="10"/>
  <c r="D23"/>
  <c r="A30" i="38"/>
  <c r="D17" i="42"/>
  <c r="K7" i="38"/>
  <c r="D22" i="42" l="1"/>
  <c r="D18"/>
  <c r="D3" i="37"/>
  <c r="D46" s="1"/>
  <c r="D17" i="40"/>
  <c r="D44" i="23"/>
  <c r="D41"/>
  <c r="D73" i="18"/>
  <c r="D69"/>
  <c r="D67"/>
  <c r="D50"/>
  <c r="D34" i="11"/>
  <c r="D61" i="19"/>
  <c r="D6"/>
  <c r="D15" i="20"/>
  <c r="D5"/>
  <c r="D60"/>
  <c r="D41"/>
  <c r="D17" i="21"/>
  <c r="D21" s="1"/>
  <c r="D62" i="19"/>
  <c r="D46"/>
  <c r="D15"/>
  <c r="D7"/>
  <c r="D11" s="1"/>
  <c r="D5" i="21"/>
  <c r="D14" s="1"/>
  <c r="D6"/>
  <c r="D51"/>
  <c r="D7" i="13"/>
  <c r="D48" i="4"/>
  <c r="D52"/>
  <c r="D49"/>
  <c r="D56" i="7"/>
  <c r="D54"/>
  <c r="D57" i="5"/>
  <c r="D54"/>
  <c r="D32" i="7"/>
  <c r="D36" i="5"/>
  <c r="D5"/>
  <c r="D7" i="7"/>
  <c r="D6"/>
  <c r="D53" i="5"/>
  <c r="D53" i="7"/>
  <c r="A29" i="38"/>
  <c r="K3" s="1"/>
  <c r="K6" s="1"/>
  <c r="D40" i="23"/>
  <c r="D50" i="8"/>
  <c r="D33"/>
  <c r="D6" i="3"/>
  <c r="D11"/>
  <c r="D34"/>
  <c r="D56"/>
  <c r="A8" i="38"/>
  <c r="A9"/>
  <c r="A11"/>
  <c r="A12"/>
  <c r="A13"/>
  <c r="A14"/>
  <c r="A16"/>
  <c r="A15"/>
  <c r="E33"/>
  <c r="E32"/>
  <c r="E31"/>
  <c r="E30"/>
  <c r="E29"/>
  <c r="A32"/>
  <c r="A31"/>
  <c r="D20" i="41"/>
  <c r="D12" i="46"/>
  <c r="E15" i="38"/>
  <c r="D59" i="23"/>
  <c r="D6" s="1"/>
  <c r="D8" s="1"/>
  <c r="D70" i="18"/>
  <c r="D19"/>
  <c r="D12"/>
  <c r="D15"/>
  <c r="D18" s="1"/>
  <c r="D12" i="11"/>
  <c r="D16" s="1"/>
  <c r="D8"/>
  <c r="D14" i="20"/>
  <c r="D17" s="1"/>
  <c r="D11"/>
  <c r="D14" i="19"/>
  <c r="D68" i="21"/>
  <c r="D12" i="10"/>
  <c r="D11"/>
  <c r="D6"/>
  <c r="D7" i="12"/>
  <c r="D6"/>
  <c r="D33" i="7"/>
  <c r="D4" i="3"/>
  <c r="D7" i="2"/>
  <c r="D6"/>
  <c r="D4" i="5"/>
  <c r="D9"/>
  <c r="D10"/>
  <c r="D12" i="8"/>
  <c r="D11"/>
  <c r="D10"/>
  <c r="D9"/>
  <c r="D6"/>
  <c r="D4"/>
  <c r="F30" i="20"/>
  <c r="F28"/>
  <c r="F8"/>
  <c r="F11" i="19"/>
  <c r="F6"/>
  <c r="F54"/>
  <c r="F87" i="21"/>
  <c r="F34"/>
  <c r="F39"/>
  <c r="F47"/>
  <c r="F62"/>
  <c r="F17"/>
  <c r="F9"/>
  <c r="F6"/>
  <c r="F18" i="41"/>
  <c r="F18" i="40"/>
  <c r="F33" i="37"/>
  <c r="F32"/>
  <c r="F24"/>
  <c r="F23"/>
  <c r="F41"/>
  <c r="F31"/>
  <c r="F29"/>
  <c r="F26"/>
  <c r="F11"/>
  <c r="F3"/>
  <c r="F31" i="18"/>
  <c r="F52"/>
  <c r="F80"/>
  <c r="F15"/>
  <c r="F78"/>
  <c r="F33" i="23"/>
  <c r="F14" i="21" l="1"/>
  <c r="D20" i="18"/>
  <c r="A33" i="38"/>
  <c r="D20" i="40"/>
  <c r="D87" i="18"/>
  <c r="D8" i="13"/>
  <c r="D73" s="1"/>
  <c r="E13" i="38" s="1"/>
  <c r="D75" i="7"/>
  <c r="E9" i="38" s="1"/>
  <c r="D32" i="2"/>
  <c r="E6" i="38" s="1"/>
  <c r="E17"/>
  <c r="D15" i="11"/>
  <c r="D68" s="1"/>
  <c r="D14"/>
  <c r="D18" i="20"/>
  <c r="D19"/>
  <c r="D19" i="19"/>
  <c r="D18"/>
  <c r="D17"/>
  <c r="D22" i="21"/>
  <c r="D23"/>
  <c r="D9" i="3"/>
  <c r="D10"/>
  <c r="D11" i="5"/>
  <c r="D77" s="1"/>
  <c r="E11" i="38" s="1"/>
  <c r="F21" i="4"/>
  <c r="F63" i="5"/>
  <c r="F32"/>
  <c r="F71" i="7"/>
  <c r="F20" i="8"/>
  <c r="F43" i="3"/>
  <c r="F68"/>
  <c r="F13" i="2"/>
  <c r="D40" i="12"/>
  <c r="E14" i="38" s="1"/>
  <c r="D70" i="4"/>
  <c r="E12" i="38" s="1"/>
  <c r="D72" i="8"/>
  <c r="E8" i="38" s="1"/>
  <c r="D13" i="42"/>
  <c r="D13" i="41"/>
  <c r="D13" i="40"/>
  <c r="F9" i="10"/>
  <c r="D90" i="21" l="1"/>
  <c r="D81" i="3"/>
  <c r="E7" i="38" s="1"/>
  <c r="D79" i="20"/>
  <c r="D81" i="19"/>
  <c r="E81" i="3"/>
  <c r="F3" i="18"/>
  <c r="E40" i="12" l="1"/>
  <c r="F12" i="10"/>
  <c r="G29" i="37"/>
  <c r="G33"/>
  <c r="G14"/>
  <c r="G31"/>
  <c r="G3"/>
  <c r="G32"/>
  <c r="G24"/>
  <c r="G23"/>
  <c r="G41"/>
  <c r="G25"/>
  <c r="G18"/>
  <c r="E20" i="38"/>
  <c r="E32" i="2"/>
  <c r="G8" i="11"/>
  <c r="G34" i="21"/>
  <c r="G9"/>
  <c r="G14" s="1"/>
  <c r="G8" i="20"/>
  <c r="G11" s="1"/>
  <c r="G3" i="18"/>
  <c r="E12" i="46"/>
  <c r="E21" i="38" s="1"/>
  <c r="E13" i="42"/>
  <c r="E20" i="41"/>
  <c r="E13"/>
  <c r="E20" i="40"/>
  <c r="E13"/>
  <c r="E12" i="18"/>
  <c r="E11" i="20"/>
  <c r="G19" i="8"/>
  <c r="G38" i="5"/>
  <c r="G14" i="12"/>
  <c r="G4"/>
  <c r="G40" s="1"/>
  <c r="F6" i="10"/>
  <c r="E8" i="11"/>
  <c r="E6" i="2"/>
  <c r="F8" i="11"/>
  <c r="H31" i="5"/>
  <c r="H11" i="21"/>
  <c r="H14" s="1"/>
  <c r="H9"/>
  <c r="H77" i="20"/>
  <c r="H42" i="19"/>
  <c r="H3" i="18"/>
  <c r="H12" s="1"/>
  <c r="H11" i="19"/>
  <c r="H8" i="20"/>
  <c r="H11" s="1"/>
  <c r="H33" i="37"/>
  <c r="H32"/>
  <c r="H16"/>
  <c r="H23"/>
  <c r="H24"/>
  <c r="H31"/>
  <c r="H26"/>
  <c r="H40"/>
  <c r="H3"/>
  <c r="H7"/>
  <c r="H70" i="4"/>
  <c r="F70"/>
  <c r="F59" i="23"/>
  <c r="F8" s="1"/>
  <c r="H20" i="8"/>
  <c r="J87" i="18"/>
  <c r="H36" i="21"/>
  <c r="H90" s="1"/>
  <c r="H87"/>
  <c r="H4" i="12"/>
  <c r="H6" s="1"/>
  <c r="K29" i="10"/>
  <c r="H29" i="2"/>
  <c r="H32"/>
  <c r="H20" i="7"/>
  <c r="H17" i="13"/>
  <c r="I68" i="11"/>
  <c r="H3"/>
  <c r="H8"/>
  <c r="F81" i="3"/>
  <c r="G9" i="10"/>
  <c r="G12"/>
  <c r="G29"/>
  <c r="G11"/>
  <c r="G6"/>
  <c r="F11" i="20"/>
  <c r="F12" i="18"/>
  <c r="F12" i="46"/>
  <c r="G12"/>
  <c r="F13" i="42"/>
  <c r="F22"/>
  <c r="F20" i="41"/>
  <c r="F13"/>
  <c r="F20" i="40"/>
  <c r="F13"/>
  <c r="F40" i="12"/>
  <c r="F7" i="13"/>
  <c r="F8"/>
  <c r="F10" i="8"/>
  <c r="F11" i="5"/>
  <c r="G13" i="42"/>
  <c r="G22"/>
  <c r="F46" i="37"/>
  <c r="F75" i="7"/>
  <c r="F7" i="2"/>
  <c r="F6"/>
  <c r="F32"/>
  <c r="E14" i="36"/>
  <c r="J68" i="11"/>
  <c r="G9" i="5"/>
  <c r="G12" i="8"/>
  <c r="J4" i="10"/>
  <c r="J6" s="1"/>
  <c r="I6"/>
  <c r="H6"/>
  <c r="G70" i="4"/>
  <c r="I20" i="42"/>
  <c r="I15" i="18"/>
  <c r="I34" i="20"/>
  <c r="I79" s="1"/>
  <c r="I5" i="21"/>
  <c r="I14" s="1"/>
  <c r="G54" i="3"/>
  <c r="G59" i="23"/>
  <c r="G8"/>
  <c r="G87" i="18"/>
  <c r="I3" i="37"/>
  <c r="I32" i="5"/>
  <c r="I13" i="2"/>
  <c r="G13" i="41"/>
  <c r="G20"/>
  <c r="G20" i="40"/>
  <c r="G13"/>
  <c r="G9" i="8"/>
  <c r="I25" i="37"/>
  <c r="I41"/>
  <c r="I33"/>
  <c r="I32"/>
  <c r="I24"/>
  <c r="I40"/>
  <c r="G11" i="19"/>
  <c r="G79" i="20"/>
  <c r="H12" i="10"/>
  <c r="H11"/>
  <c r="G73" i="13"/>
  <c r="G75" i="7"/>
  <c r="G32" i="2"/>
  <c r="G81" i="3"/>
  <c r="F14" i="36"/>
  <c r="I20" i="40"/>
  <c r="I13"/>
  <c r="I28" i="19"/>
  <c r="I81" s="1"/>
  <c r="I18" i="13"/>
  <c r="I4"/>
  <c r="I73" s="1"/>
  <c r="I8" i="23"/>
  <c r="H74" i="19"/>
  <c r="H73" i="20"/>
  <c r="G83" i="21"/>
  <c r="J90"/>
  <c r="I90"/>
  <c r="J79" i="20"/>
  <c r="I87" i="18"/>
  <c r="J22" i="42"/>
  <c r="I22"/>
  <c r="I13"/>
  <c r="I13" i="41"/>
  <c r="I20"/>
  <c r="J13"/>
  <c r="J13" i="40"/>
  <c r="J20"/>
  <c r="I12" i="18"/>
  <c r="I11" i="19"/>
  <c r="I11" i="20"/>
  <c r="J3" i="18"/>
  <c r="J12" s="1"/>
  <c r="J81" i="19"/>
  <c r="J11"/>
  <c r="J8" i="20"/>
  <c r="J11" s="1"/>
  <c r="J9" i="21"/>
  <c r="J14" s="1"/>
  <c r="J18" i="41"/>
  <c r="J20" s="1"/>
  <c r="J30" i="37"/>
  <c r="I59" i="23"/>
  <c r="J59"/>
  <c r="J8"/>
  <c r="J35" i="37"/>
  <c r="K4" i="10"/>
  <c r="K6" s="1"/>
  <c r="J33" i="37"/>
  <c r="J32"/>
  <c r="J23"/>
  <c r="J25"/>
  <c r="J26"/>
  <c r="J36"/>
  <c r="J34"/>
  <c r="J20"/>
  <c r="J46"/>
  <c r="J45"/>
  <c r="I40" i="12"/>
  <c r="I70" i="4"/>
  <c r="I77" i="5"/>
  <c r="I75" i="7"/>
  <c r="I72" i="8"/>
  <c r="I81" i="3"/>
  <c r="I32" i="2"/>
  <c r="J77" i="5"/>
  <c r="J75" i="7"/>
  <c r="J70" i="4"/>
  <c r="J72" i="8"/>
  <c r="J81" i="3"/>
  <c r="J32" i="2"/>
  <c r="J40" i="12"/>
  <c r="J73" i="13"/>
  <c r="H72" i="8"/>
  <c r="H8" i="13"/>
  <c r="H13" i="23"/>
  <c r="H59"/>
  <c r="H6" s="1"/>
  <c r="H8" s="1"/>
  <c r="H22" i="42"/>
  <c r="H13"/>
  <c r="I11" i="10"/>
  <c r="I29"/>
  <c r="H13" i="41"/>
  <c r="H20"/>
  <c r="H13" i="40"/>
  <c r="H20"/>
  <c r="H68" i="11"/>
  <c r="H75" i="7"/>
  <c r="H81" i="3"/>
  <c r="G10" i="5"/>
  <c r="G77" s="1"/>
  <c r="G68" i="11"/>
  <c r="G81" i="19"/>
  <c r="G12" i="18"/>
  <c r="F68" i="11"/>
  <c r="H77" i="5"/>
  <c r="H87" i="18"/>
  <c r="F12" i="8"/>
  <c r="H46" i="37"/>
  <c r="I46"/>
  <c r="H81" i="19"/>
  <c r="G72" i="8"/>
  <c r="E22" i="42" l="1"/>
  <c r="H79" i="20"/>
  <c r="H73" i="13"/>
  <c r="F73"/>
  <c r="G90" i="21"/>
  <c r="H7" i="12"/>
  <c r="H40" s="1"/>
  <c r="F72" i="8"/>
  <c r="D14" i="36"/>
  <c r="F79" i="20"/>
  <c r="F90" i="21"/>
  <c r="F77" i="5"/>
  <c r="E77"/>
  <c r="E72" i="8"/>
  <c r="E68" i="11"/>
  <c r="F11" i="10"/>
  <c r="E73" i="13"/>
  <c r="F87" i="18"/>
  <c r="A24" i="38"/>
  <c r="G46" i="37"/>
  <c r="A35" i="38"/>
  <c r="E35"/>
  <c r="E59" i="23"/>
  <c r="E6" s="1"/>
  <c r="E90" i="21"/>
  <c r="E70" i="4"/>
  <c r="E75" i="7"/>
  <c r="A18" i="38"/>
  <c r="E79" i="20" l="1"/>
  <c r="F81" i="19"/>
  <c r="E24" i="38"/>
  <c r="A26" s="1"/>
  <c r="E87" i="18"/>
  <c r="E81" i="19"/>
  <c r="E8" i="23"/>
</calcChain>
</file>

<file path=xl/comments1.xml><?xml version="1.0" encoding="utf-8"?>
<comments xmlns="http://schemas.openxmlformats.org/spreadsheetml/2006/main">
  <authors>
    <author xml:space="preserve"> </author>
  </authors>
  <commentList>
    <comment ref="E10" authorId="0">
      <text>
        <r>
          <rPr>
            <sz val="8"/>
            <color indexed="81"/>
            <rFont val="Tahoma"/>
            <family val="2"/>
          </rPr>
          <t>1330 population times $6</t>
        </r>
        <r>
          <rPr>
            <sz val="8"/>
            <color indexed="81"/>
            <rFont val="Tahoma"/>
            <charset val="1"/>
          </rPr>
          <t xml:space="preserve">
</t>
        </r>
      </text>
    </comment>
  </commentList>
</comments>
</file>

<file path=xl/comments10.xml><?xml version="1.0" encoding="utf-8"?>
<comments xmlns="http://schemas.openxmlformats.org/spreadsheetml/2006/main">
  <authors>
    <author>theresa</author>
  </authors>
  <commentList>
    <comment ref="D35" authorId="0">
      <text>
        <r>
          <rPr>
            <sz val="9"/>
            <color indexed="81"/>
            <rFont val="Tahoma"/>
            <family val="2"/>
          </rPr>
          <t>consortium</t>
        </r>
      </text>
    </comment>
  </commentList>
</comments>
</file>

<file path=xl/comments11.xml><?xml version="1.0" encoding="utf-8"?>
<comments xmlns="http://schemas.openxmlformats.org/spreadsheetml/2006/main">
  <authors>
    <author>theresa</author>
  </authors>
  <commentList>
    <comment ref="D9" authorId="0">
      <text>
        <r>
          <rPr>
            <sz val="9"/>
            <color indexed="81"/>
            <rFont val="Tahoma"/>
            <charset val="1"/>
          </rPr>
          <t xml:space="preserve">street light fee </t>
        </r>
      </text>
    </comment>
    <comment ref="D83" authorId="0">
      <text>
        <r>
          <rPr>
            <b/>
            <sz val="9"/>
            <color indexed="81"/>
            <rFont val="Tahoma"/>
            <charset val="1"/>
          </rPr>
          <t>theresa:</t>
        </r>
        <r>
          <rPr>
            <sz val="9"/>
            <color indexed="81"/>
            <rFont val="Tahoma"/>
            <charset val="1"/>
          </rPr>
          <t xml:space="preserve">
4082 vehicle plus capital improvement
</t>
        </r>
      </text>
    </comment>
  </commentList>
</comments>
</file>

<file path=xl/comments12.xml><?xml version="1.0" encoding="utf-8"?>
<comments xmlns="http://schemas.openxmlformats.org/spreadsheetml/2006/main">
  <authors>
    <author>theresa</author>
  </authors>
  <commentList>
    <comment ref="E83" authorId="0">
      <text>
        <r>
          <rPr>
            <b/>
            <sz val="9"/>
            <color indexed="81"/>
            <rFont val="Tahoma"/>
            <family val="2"/>
          </rPr>
          <t xml:space="preserve">Erin: Includes bond proceeds of $159150.00
</t>
        </r>
        <r>
          <rPr>
            <sz val="9"/>
            <color indexed="81"/>
            <rFont val="Tahoma"/>
            <family val="2"/>
          </rPr>
          <t xml:space="preserve">
</t>
        </r>
      </text>
    </comment>
  </commentList>
</comments>
</file>

<file path=xl/comments13.xml><?xml version="1.0" encoding="utf-8"?>
<comments xmlns="http://schemas.openxmlformats.org/spreadsheetml/2006/main">
  <authors>
    <author>theresa</author>
  </authors>
  <commentList>
    <comment ref="D73" authorId="0">
      <text>
        <r>
          <rPr>
            <b/>
            <sz val="9"/>
            <color indexed="81"/>
            <rFont val="Tahoma"/>
            <charset val="1"/>
          </rPr>
          <t>theresa:</t>
        </r>
        <r>
          <rPr>
            <sz val="9"/>
            <color indexed="81"/>
            <rFont val="Tahoma"/>
            <charset val="1"/>
          </rPr>
          <t xml:space="preserve">
2705 vehicle plus clarifier repayment</t>
        </r>
      </text>
    </comment>
  </commentList>
</comments>
</file>

<file path=xl/comments14.xml><?xml version="1.0" encoding="utf-8"?>
<comments xmlns="http://schemas.openxmlformats.org/spreadsheetml/2006/main">
  <authors>
    <author>Tom</author>
    <author>theresa</author>
    <author xml:space="preserve"> </author>
  </authors>
  <commentList>
    <comment ref="H18" authorId="0">
      <text>
        <r>
          <rPr>
            <sz val="8"/>
            <color indexed="81"/>
            <rFont val="Tahoma"/>
            <family val="2"/>
          </rPr>
          <t xml:space="preserve">Employee pays 37.5%
</t>
        </r>
      </text>
    </comment>
    <comment ref="D51" authorId="1">
      <text>
        <r>
          <rPr>
            <b/>
            <sz val="9"/>
            <color indexed="81"/>
            <rFont val="Tahoma"/>
            <family val="2"/>
          </rPr>
          <t>theresa:</t>
        </r>
        <r>
          <rPr>
            <sz val="9"/>
            <color indexed="81"/>
            <rFont val="Tahoma"/>
            <family val="2"/>
          </rPr>
          <t xml:space="preserve">
leasehold improvements</t>
        </r>
      </text>
    </comment>
    <comment ref="E51" authorId="1">
      <text>
        <r>
          <rPr>
            <b/>
            <sz val="9"/>
            <color indexed="81"/>
            <rFont val="Tahoma"/>
            <family val="2"/>
          </rPr>
          <t>theresa:</t>
        </r>
        <r>
          <rPr>
            <sz val="9"/>
            <color indexed="81"/>
            <rFont val="Tahoma"/>
            <family val="2"/>
          </rPr>
          <t xml:space="preserve">
leasehold improvements</t>
        </r>
      </text>
    </comment>
    <comment ref="D54" authorId="1">
      <text>
        <r>
          <rPr>
            <b/>
            <sz val="9"/>
            <color indexed="81"/>
            <rFont val="Tahoma"/>
            <charset val="1"/>
          </rPr>
          <t>theresa:</t>
        </r>
        <r>
          <rPr>
            <sz val="9"/>
            <color indexed="81"/>
            <rFont val="Tahoma"/>
            <charset val="1"/>
          </rPr>
          <t xml:space="preserve">
cleaning</t>
        </r>
      </text>
    </comment>
    <comment ref="E54" authorId="1">
      <text>
        <r>
          <rPr>
            <b/>
            <sz val="9"/>
            <color indexed="81"/>
            <rFont val="Tahoma"/>
            <charset val="1"/>
          </rPr>
          <t>theresa:</t>
        </r>
        <r>
          <rPr>
            <sz val="9"/>
            <color indexed="81"/>
            <rFont val="Tahoma"/>
            <charset val="1"/>
          </rPr>
          <t xml:space="preserve">
cleaning</t>
        </r>
      </text>
    </comment>
    <comment ref="D59" authorId="1">
      <text>
        <r>
          <rPr>
            <b/>
            <sz val="9"/>
            <color indexed="81"/>
            <rFont val="Tahoma"/>
            <charset val="1"/>
          </rPr>
          <t>theresa:</t>
        </r>
        <r>
          <rPr>
            <sz val="9"/>
            <color indexed="81"/>
            <rFont val="Tahoma"/>
            <charset val="1"/>
          </rPr>
          <t xml:space="preserve">
rent: 5130 times 4</t>
        </r>
      </text>
    </comment>
    <comment ref="E59" authorId="1">
      <text>
        <r>
          <rPr>
            <b/>
            <sz val="9"/>
            <color indexed="81"/>
            <rFont val="Tahoma"/>
            <charset val="1"/>
          </rPr>
          <t>theresa:</t>
        </r>
        <r>
          <rPr>
            <sz val="9"/>
            <color indexed="81"/>
            <rFont val="Tahoma"/>
            <charset val="1"/>
          </rPr>
          <t xml:space="preserve">
rent: 5130 times 4</t>
        </r>
      </text>
    </comment>
    <comment ref="A60" authorId="2">
      <text>
        <r>
          <rPr>
            <sz val="8"/>
            <color indexed="81"/>
            <rFont val="Tahoma"/>
            <family val="2"/>
          </rPr>
          <t xml:space="preserve">Utilities billed by Oliver Project. 
</t>
        </r>
      </text>
    </comment>
    <comment ref="D60" authorId="1">
      <text>
        <r>
          <rPr>
            <b/>
            <sz val="9"/>
            <color indexed="81"/>
            <rFont val="Tahoma"/>
            <charset val="1"/>
          </rPr>
          <t>theresa:</t>
        </r>
        <r>
          <rPr>
            <sz val="9"/>
            <color indexed="81"/>
            <rFont val="Tahoma"/>
            <charset val="1"/>
          </rPr>
          <t xml:space="preserve">
utilities</t>
        </r>
      </text>
    </comment>
    <comment ref="E60" authorId="1">
      <text>
        <r>
          <rPr>
            <b/>
            <sz val="9"/>
            <color indexed="81"/>
            <rFont val="Tahoma"/>
            <charset val="1"/>
          </rPr>
          <t>theresa:</t>
        </r>
        <r>
          <rPr>
            <sz val="9"/>
            <color indexed="81"/>
            <rFont val="Tahoma"/>
            <charset val="1"/>
          </rPr>
          <t xml:space="preserve">
utilities</t>
        </r>
      </text>
    </comment>
  </commentList>
</comments>
</file>

<file path=xl/comments15.xml><?xml version="1.0" encoding="utf-8"?>
<comments xmlns="http://schemas.openxmlformats.org/spreadsheetml/2006/main">
  <authors>
    <author xml:space="preserve"> </author>
  </authors>
  <commentList>
    <comment ref="J11" authorId="0">
      <text>
        <r>
          <rPr>
            <sz val="8"/>
            <color indexed="81"/>
            <rFont val="Tahoma"/>
            <family val="2"/>
          </rPr>
          <t>transfer in from CD's</t>
        </r>
      </text>
    </comment>
  </commentList>
</comments>
</file>

<file path=xl/comments16.xml><?xml version="1.0" encoding="utf-8"?>
<comments xmlns="http://schemas.openxmlformats.org/spreadsheetml/2006/main">
  <authors>
    <author xml:space="preserve"> </author>
    <author>theresa</author>
  </authors>
  <commentList>
    <comment ref="G31" authorId="0">
      <text>
        <r>
          <rPr>
            <b/>
            <sz val="8"/>
            <color indexed="81"/>
            <rFont val="Tahoma"/>
            <family val="2"/>
          </rPr>
          <t xml:space="preserve"> </t>
        </r>
        <r>
          <rPr>
            <sz val="8"/>
            <color indexed="81"/>
            <rFont val="Tahoma"/>
            <family val="2"/>
          </rPr>
          <t>includes 20% of mowing
contract</t>
        </r>
      </text>
    </comment>
    <comment ref="H48" authorId="0">
      <text>
        <r>
          <rPr>
            <sz val="8"/>
            <color indexed="81"/>
            <rFont val="Tahoma"/>
            <family val="2"/>
          </rPr>
          <t>shifted cleaning expense from wages to contractual</t>
        </r>
      </text>
    </comment>
    <comment ref="D50" authorId="1">
      <text>
        <r>
          <rPr>
            <b/>
            <sz val="9"/>
            <color indexed="81"/>
            <rFont val="Tahoma"/>
            <charset val="1"/>
          </rPr>
          <t xml:space="preserve">theresa: </t>
        </r>
        <r>
          <rPr>
            <sz val="9"/>
            <color indexed="81"/>
            <rFont val="Tahoma"/>
            <charset val="1"/>
          </rPr>
          <t xml:space="preserve">
costs for new lights and remote switch</t>
        </r>
      </text>
    </comment>
    <comment ref="E50" authorId="1">
      <text>
        <r>
          <rPr>
            <b/>
            <sz val="9"/>
            <color indexed="81"/>
            <rFont val="Tahoma"/>
            <charset val="1"/>
          </rPr>
          <t xml:space="preserve">theresa: </t>
        </r>
        <r>
          <rPr>
            <sz val="9"/>
            <color indexed="81"/>
            <rFont val="Tahoma"/>
            <charset val="1"/>
          </rPr>
          <t xml:space="preserve">
need costs for new lights and remote switch</t>
        </r>
      </text>
    </comment>
    <comment ref="H50" authorId="0">
      <text>
        <r>
          <rPr>
            <sz val="8"/>
            <color indexed="81"/>
            <rFont val="Tahoma"/>
            <family val="2"/>
          </rPr>
          <t>previously budgeted $15,000 per year</t>
        </r>
      </text>
    </comment>
  </commentList>
</comments>
</file>

<file path=xl/comments17.xml><?xml version="1.0" encoding="utf-8"?>
<comments xmlns="http://schemas.openxmlformats.org/spreadsheetml/2006/main">
  <authors>
    <author xml:space="preserve"> </author>
  </authors>
  <commentList>
    <comment ref="B1" authorId="0">
      <text>
        <r>
          <rPr>
            <sz val="8"/>
            <color indexed="81"/>
            <rFont val="Tahoma"/>
            <family val="2"/>
          </rPr>
          <t xml:space="preserve">Budget developed in consultation with Mike Bubany, David Drown Assoc. </t>
        </r>
      </text>
    </comment>
  </commentList>
</comments>
</file>

<file path=xl/comments18.xml><?xml version="1.0" encoding="utf-8"?>
<comments xmlns="http://schemas.openxmlformats.org/spreadsheetml/2006/main">
  <authors>
    <author xml:space="preserve"> </author>
  </authors>
  <commentList>
    <comment ref="B1" authorId="0">
      <text>
        <r>
          <rPr>
            <sz val="8"/>
            <color indexed="81"/>
            <rFont val="Tahoma"/>
            <family val="2"/>
          </rPr>
          <t xml:space="preserve">Budget developed in consultation with Mike Bubany, David Drown Assoc. </t>
        </r>
      </text>
    </comment>
  </commentList>
</comments>
</file>

<file path=xl/comments19.xml><?xml version="1.0" encoding="utf-8"?>
<comments xmlns="http://schemas.openxmlformats.org/spreadsheetml/2006/main">
  <authors>
    <author xml:space="preserve"> </author>
  </authors>
  <commentList>
    <comment ref="B1" authorId="0">
      <text>
        <r>
          <rPr>
            <sz val="8"/>
            <color indexed="81"/>
            <rFont val="Tahoma"/>
            <family val="2"/>
          </rPr>
          <t xml:space="preserve">Budget developed in consultation with Mike Bubany, David Drown Assoc. </t>
        </r>
      </text>
    </comment>
  </commentList>
</comments>
</file>

<file path=xl/comments2.xml><?xml version="1.0" encoding="utf-8"?>
<comments xmlns="http://schemas.openxmlformats.org/spreadsheetml/2006/main">
  <authors>
    <author>theresa</author>
  </authors>
  <commentList>
    <comment ref="D43" authorId="0">
      <text>
        <r>
          <rPr>
            <b/>
            <sz val="9"/>
            <color indexed="81"/>
            <rFont val="Tahoma"/>
            <charset val="1"/>
          </rPr>
          <t>theresa:</t>
        </r>
        <r>
          <rPr>
            <sz val="9"/>
            <color indexed="81"/>
            <rFont val="Tahoma"/>
            <charset val="1"/>
          </rPr>
          <t xml:space="preserve">
113,000 from Elec. Fund </t>
        </r>
      </text>
    </comment>
    <comment ref="E43" authorId="0">
      <text>
        <r>
          <rPr>
            <b/>
            <sz val="9"/>
            <color indexed="81"/>
            <rFont val="Tahoma"/>
            <charset val="1"/>
          </rPr>
          <t>theresa:</t>
        </r>
        <r>
          <rPr>
            <sz val="9"/>
            <color indexed="81"/>
            <rFont val="Tahoma"/>
            <charset val="1"/>
          </rPr>
          <t xml:space="preserve">
130,000 from Elec. Fund and 94,457 from reserves</t>
        </r>
      </text>
    </comment>
  </commentList>
</comments>
</file>

<file path=xl/comments20.xml><?xml version="1.0" encoding="utf-8"?>
<comments xmlns="http://schemas.openxmlformats.org/spreadsheetml/2006/main">
  <authors>
    <author xml:space="preserve"> </author>
  </authors>
  <commentList>
    <comment ref="G10" authorId="0">
      <text>
        <r>
          <rPr>
            <sz val="8"/>
            <color indexed="81"/>
            <rFont val="Tahoma"/>
            <family val="2"/>
          </rPr>
          <t xml:space="preserve">2% of mowing contract
</t>
        </r>
      </text>
    </comment>
  </commentList>
</comments>
</file>

<file path=xl/comments3.xml><?xml version="1.0" encoding="utf-8"?>
<comments xmlns="http://schemas.openxmlformats.org/spreadsheetml/2006/main">
  <authors>
    <author>Theresa Coleman</author>
    <author>theresa</author>
  </authors>
  <commentList>
    <comment ref="D29" authorId="0">
      <text>
        <r>
          <rPr>
            <sz val="8"/>
            <color indexed="81"/>
            <rFont val="Tahoma"/>
            <charset val="1"/>
          </rPr>
          <t>discretionary spending</t>
        </r>
      </text>
    </comment>
    <comment ref="B30" authorId="1">
      <text>
        <r>
          <rPr>
            <sz val="9"/>
            <color indexed="81"/>
            <rFont val="Tahoma"/>
            <family val="2"/>
          </rPr>
          <t xml:space="preserve">Syttende Mai $1,500
Uffda Fest $1,500
Homecoming $1,500
Music in the Park $900
</t>
        </r>
      </text>
    </comment>
    <comment ref="D30" authorId="0">
      <text>
        <r>
          <rPr>
            <b/>
            <sz val="8"/>
            <color indexed="81"/>
            <rFont val="Tahoma"/>
            <charset val="1"/>
          </rPr>
          <t>LMC:</t>
        </r>
        <r>
          <rPr>
            <sz val="8"/>
            <color indexed="81"/>
            <rFont val="Tahoma"/>
            <charset val="1"/>
          </rPr>
          <t xml:space="preserve">
Counties, cities, and townships may appropriate money to support artistic organizations. The appropriation may be divided among multiple artistic organizations in proportions determined by the governing body.
An “artistic organization” is an association, corporation, or other group that provides an opportunity for people to participate in the creation, performance, or appreciation of artistic activities. The statute provides examples of “artistic activities” cities can support with this appropriation, but it is by no means an exclusive list.</t>
        </r>
      </text>
    </comment>
  </commentList>
</comments>
</file>

<file path=xl/comments4.xml><?xml version="1.0" encoding="utf-8"?>
<comments xmlns="http://schemas.openxmlformats.org/spreadsheetml/2006/main">
  <authors>
    <author xml:space="preserve"> </author>
  </authors>
  <commentList>
    <comment ref="I78" authorId="0">
      <text>
        <r>
          <rPr>
            <sz val="8"/>
            <color indexed="81"/>
            <rFont val="Tahoma"/>
            <family val="2"/>
          </rPr>
          <t xml:space="preserve">for Oct, Nov, Dec 2007
</t>
        </r>
      </text>
    </comment>
  </commentList>
</comments>
</file>

<file path=xl/comments5.xml><?xml version="1.0" encoding="utf-8"?>
<comments xmlns="http://schemas.openxmlformats.org/spreadsheetml/2006/main">
  <authors>
    <author xml:space="preserve"> </author>
  </authors>
  <commentList>
    <comment ref="H65" authorId="0">
      <text>
        <r>
          <rPr>
            <sz val="8"/>
            <color indexed="81"/>
            <rFont val="Tahoma"/>
            <family val="2"/>
          </rPr>
          <t xml:space="preserve">Peace Officer License renewal, Mn Peace Officers, State Chiefs Assoc, Comp. tech support, State Databases. 
</t>
        </r>
      </text>
    </comment>
    <comment ref="H67" authorId="0">
      <text>
        <r>
          <rPr>
            <sz val="8"/>
            <color indexed="81"/>
            <rFont val="Tahoma"/>
            <family val="2"/>
          </rPr>
          <t xml:space="preserve">Utilize 12 hours of online training. 
</t>
        </r>
      </text>
    </comment>
    <comment ref="H70" authorId="0">
      <text>
        <r>
          <rPr>
            <sz val="8"/>
            <color indexed="81"/>
            <rFont val="Tahoma"/>
            <family val="2"/>
          </rPr>
          <t xml:space="preserve">National Night Out, Elementary Bowling, Bike Safety, etc.
</t>
        </r>
      </text>
    </comment>
  </commentList>
</comments>
</file>

<file path=xl/comments6.xml><?xml version="1.0" encoding="utf-8"?>
<comments xmlns="http://schemas.openxmlformats.org/spreadsheetml/2006/main">
  <authors>
    <author>theresa</author>
    <author>Theresa Coleman</author>
  </authors>
  <commentList>
    <comment ref="D4" authorId="0">
      <text>
        <r>
          <rPr>
            <sz val="9"/>
            <color indexed="81"/>
            <rFont val="Tahoma"/>
            <family val="2"/>
          </rPr>
          <t>$7.46 per hour and $3.00 per hour of training; chief  $900, assist $500, train $400 secr $400</t>
        </r>
        <r>
          <rPr>
            <sz val="9"/>
            <color indexed="81"/>
            <rFont val="Tahoma"/>
            <charset val="1"/>
          </rPr>
          <t xml:space="preserve">
</t>
        </r>
      </text>
    </comment>
    <comment ref="D67" authorId="1">
      <text>
        <r>
          <rPr>
            <b/>
            <sz val="8"/>
            <color indexed="81"/>
            <rFont val="Tahoma"/>
            <charset val="1"/>
          </rPr>
          <t>Theresa Coleman:</t>
        </r>
        <r>
          <rPr>
            <sz val="8"/>
            <color indexed="81"/>
            <rFont val="Tahoma"/>
            <charset val="1"/>
          </rPr>
          <t xml:space="preserve">
replacement of small equipment and personal protective equipment</t>
        </r>
      </text>
    </comment>
  </commentList>
</comments>
</file>

<file path=xl/comments7.xml><?xml version="1.0" encoding="utf-8"?>
<comments xmlns="http://schemas.openxmlformats.org/spreadsheetml/2006/main">
  <authors>
    <author xml:space="preserve"> </author>
  </authors>
  <commentList>
    <comment ref="H32" authorId="0">
      <text>
        <r>
          <rPr>
            <sz val="8"/>
            <color indexed="81"/>
            <rFont val="Tahoma"/>
            <family val="2"/>
          </rPr>
          <t xml:space="preserve">Streets vehicles have not had MnDOT Inspections
</t>
        </r>
      </text>
    </comment>
    <comment ref="H38" authorId="0">
      <text>
        <r>
          <rPr>
            <sz val="8"/>
            <color indexed="81"/>
            <rFont val="Tahoma"/>
            <family val="2"/>
          </rPr>
          <t xml:space="preserve">for MNDOT inspector
</t>
        </r>
      </text>
    </comment>
  </commentList>
</comments>
</file>

<file path=xl/comments8.xml><?xml version="1.0" encoding="utf-8"?>
<comments xmlns="http://schemas.openxmlformats.org/spreadsheetml/2006/main">
  <authors>
    <author xml:space="preserve"> </author>
    <author>theresa</author>
  </authors>
  <commentList>
    <comment ref="I54" authorId="0">
      <text>
        <r>
          <rPr>
            <sz val="8"/>
            <color indexed="81"/>
            <rFont val="Tahoma"/>
            <family val="2"/>
          </rPr>
          <t xml:space="preserve">Picnic table purchase approved by council plus a bench paid for through donation. 
</t>
        </r>
      </text>
    </comment>
    <comment ref="D57" authorId="1">
      <text>
        <r>
          <rPr>
            <sz val="9"/>
            <color indexed="81"/>
            <rFont val="Tahoma"/>
            <charset val="1"/>
          </rPr>
          <t>Roverud Park Reconstruction</t>
        </r>
      </text>
    </comment>
  </commentList>
</comments>
</file>

<file path=xl/comments9.xml><?xml version="1.0" encoding="utf-8"?>
<comments xmlns="http://schemas.openxmlformats.org/spreadsheetml/2006/main">
  <authors>
    <author>theresa</author>
  </authors>
  <commentList>
    <comment ref="D66" authorId="0">
      <text>
        <r>
          <rPr>
            <sz val="9"/>
            <color indexed="81"/>
            <rFont val="Tahoma"/>
            <family val="2"/>
          </rPr>
          <t>1.6 m over 30 years equals $53,333</t>
        </r>
        <r>
          <rPr>
            <b/>
            <sz val="9"/>
            <color indexed="81"/>
            <rFont val="Tahoma"/>
            <charset val="1"/>
          </rPr>
          <t xml:space="preserve">
</t>
        </r>
        <r>
          <rPr>
            <sz val="9"/>
            <color indexed="81"/>
            <rFont val="Tahoma"/>
            <charset val="1"/>
          </rPr>
          <t xml:space="preserve">
</t>
        </r>
      </text>
    </comment>
  </commentList>
</comments>
</file>

<file path=xl/sharedStrings.xml><?xml version="1.0" encoding="utf-8"?>
<sst xmlns="http://schemas.openxmlformats.org/spreadsheetml/2006/main" count="2012" uniqueCount="1037">
  <si>
    <t>12100 Police</t>
  </si>
  <si>
    <t>Fund 615 Electric</t>
  </si>
  <si>
    <t>Fund 620 Water</t>
  </si>
  <si>
    <t>14300 Summer Recreation</t>
  </si>
  <si>
    <t>Fund 650 Liquor Store</t>
  </si>
  <si>
    <t>Fund 625 SEWER</t>
  </si>
  <si>
    <t>Fund 270 Fest Building</t>
  </si>
  <si>
    <t>Radio Units</t>
  </si>
  <si>
    <t>Communication (320)</t>
  </si>
  <si>
    <t>Professional Services (300)</t>
  </si>
  <si>
    <t>101-11300-301</t>
  </si>
  <si>
    <t>Auditing and Accounting Services</t>
  </si>
  <si>
    <t>101-11300-303</t>
  </si>
  <si>
    <t>Engineering Fees</t>
  </si>
  <si>
    <t>101-11300-304</t>
  </si>
  <si>
    <t>Legal Fees</t>
  </si>
  <si>
    <t>101-11300-309</t>
  </si>
  <si>
    <t>EDP, Software and Design</t>
  </si>
  <si>
    <t>Medical</t>
  </si>
  <si>
    <t>101-11300-311</t>
  </si>
  <si>
    <t>Merchandise for Resale (250)</t>
  </si>
  <si>
    <t>Liquor</t>
  </si>
  <si>
    <t>Beer</t>
  </si>
  <si>
    <t>Wine</t>
  </si>
  <si>
    <t>Soft Drinks and Mix</t>
  </si>
  <si>
    <t>Drink Ingredients (juices, olives)</t>
  </si>
  <si>
    <t>Signs</t>
  </si>
  <si>
    <t>Copies and Miscellaneous Other</t>
  </si>
  <si>
    <t>Repair and Maintenance (220-240)</t>
  </si>
  <si>
    <t>Utility Sales/Service - Penalties</t>
  </si>
  <si>
    <t>Miscellaneous Revenue - Interest</t>
  </si>
  <si>
    <t>Miscellaneous Revenue - Rents</t>
  </si>
  <si>
    <t>Miscellaneous Revenue - Contributions</t>
  </si>
  <si>
    <t>Miscellaneous Revenue - Other</t>
  </si>
  <si>
    <t>Miscellaneous Revenue - Rural Fire Contributions</t>
  </si>
  <si>
    <t>Miscellaneous Revenue - Franchise Fees</t>
  </si>
  <si>
    <t>Miscellaneous Revenue - State Reimbursement</t>
  </si>
  <si>
    <t>Miscellaneous Revenue - LMC</t>
  </si>
  <si>
    <t>Miscellaneous Revenue - NSF Checks</t>
  </si>
  <si>
    <t>Liquor Store Glassware/Supplies</t>
  </si>
  <si>
    <t>Shop Materials</t>
  </si>
  <si>
    <t>101-11300-216</t>
  </si>
  <si>
    <t>Chemicals &amp; Chemical Products</t>
  </si>
  <si>
    <t>Other (including Labor)</t>
  </si>
  <si>
    <t>Office Supplies (200)</t>
  </si>
  <si>
    <t>101-11300-201</t>
  </si>
  <si>
    <t>Accessories (Staplers, etc)</t>
  </si>
  <si>
    <t>101-11300-202</t>
  </si>
  <si>
    <t>Copying Supplies</t>
  </si>
  <si>
    <t>101-11300-203</t>
  </si>
  <si>
    <t>Printed Forms and Paper</t>
  </si>
  <si>
    <t>101-11300-204</t>
  </si>
  <si>
    <t>Envelopes and Letterheads</t>
  </si>
  <si>
    <t>270-00000-36200</t>
  </si>
  <si>
    <t>Misc Revenue - Rents</t>
  </si>
  <si>
    <t>Revenue</t>
  </si>
  <si>
    <t>101-11300-205</t>
  </si>
  <si>
    <t>Other Supplies (Miscellaneous)</t>
  </si>
  <si>
    <t>Worker's Compensation (150-160)</t>
  </si>
  <si>
    <t>Transfer In</t>
  </si>
  <si>
    <t>Sales - Chips/Nuts/Pop</t>
  </si>
  <si>
    <t>270-00000-103</t>
  </si>
  <si>
    <t>Temporary Employees (Regular)</t>
  </si>
  <si>
    <t>Part-time Employees (Regular)</t>
  </si>
  <si>
    <t>Freight and Express</t>
  </si>
  <si>
    <t>Police</t>
  </si>
  <si>
    <t>Fire</t>
  </si>
  <si>
    <t>Ambulance</t>
  </si>
  <si>
    <t>Streets</t>
  </si>
  <si>
    <t>Parks</t>
  </si>
  <si>
    <t>Aquatic Center</t>
  </si>
  <si>
    <t>Debt Service Funds</t>
  </si>
  <si>
    <t>101-12100-101</t>
  </si>
  <si>
    <t>101-12100-102</t>
  </si>
  <si>
    <t>101-11100-123</t>
  </si>
  <si>
    <t>101-11100-949</t>
  </si>
  <si>
    <t>General Misc</t>
  </si>
  <si>
    <t>TOTAL</t>
  </si>
  <si>
    <t>BUDGET</t>
  </si>
  <si>
    <t>101-11200-151</t>
  </si>
  <si>
    <t>101-12100-948</t>
  </si>
  <si>
    <t>Animal Control</t>
  </si>
  <si>
    <t>Tax Levy</t>
  </si>
  <si>
    <t>TOTAL REVENUES</t>
  </si>
  <si>
    <t>Council</t>
  </si>
  <si>
    <t>Summer Rec</t>
  </si>
  <si>
    <t xml:space="preserve">Library </t>
  </si>
  <si>
    <t>TOTAL EXPENDITURES</t>
  </si>
  <si>
    <t>270-00000-217</t>
  </si>
  <si>
    <t>270-00000-221</t>
  </si>
  <si>
    <t>270-00000-227</t>
  </si>
  <si>
    <t>270-00000-260</t>
  </si>
  <si>
    <t>270-00000-311</t>
  </si>
  <si>
    <t>270-00000-344</t>
  </si>
  <si>
    <t>270-00000-361</t>
  </si>
  <si>
    <t>270-00000-362</t>
  </si>
  <si>
    <t>270-00000-381</t>
  </si>
  <si>
    <t>270-00000-382</t>
  </si>
  <si>
    <t>270-00000-383</t>
  </si>
  <si>
    <t>270-00000-384</t>
  </si>
  <si>
    <t>270-00000-385</t>
  </si>
  <si>
    <t>270-00000-901</t>
  </si>
  <si>
    <t>270-00000-902</t>
  </si>
  <si>
    <t>270-00000-903</t>
  </si>
  <si>
    <t>270-00000-921</t>
  </si>
  <si>
    <t>270-00000-949</t>
  </si>
  <si>
    <t>Revenues</t>
  </si>
  <si>
    <t>Description</t>
  </si>
  <si>
    <t>Expenditures</t>
  </si>
  <si>
    <t>101-11200-103</t>
  </si>
  <si>
    <t>101-11200-122</t>
  </si>
  <si>
    <t>FICA</t>
  </si>
  <si>
    <t>101-11200-123</t>
  </si>
  <si>
    <t>Medicare</t>
  </si>
  <si>
    <t>101-11200-361</t>
  </si>
  <si>
    <t>General Liability</t>
  </si>
  <si>
    <t>101-11200-943</t>
  </si>
  <si>
    <t>101-11200-944</t>
  </si>
  <si>
    <t>101-11200-949</t>
  </si>
  <si>
    <t>Telephone</t>
  </si>
  <si>
    <t>Postage</t>
  </si>
  <si>
    <t>Mileage/Parking</t>
  </si>
  <si>
    <t>Conference/Training</t>
  </si>
  <si>
    <t>Books/Pamphlets</t>
  </si>
  <si>
    <t>Fees/Dues/Subscr.</t>
  </si>
  <si>
    <t>Other</t>
  </si>
  <si>
    <t>Administration</t>
  </si>
  <si>
    <t>101-11300-101</t>
  </si>
  <si>
    <t>101-11300-102</t>
  </si>
  <si>
    <t>Full Time Employees (Regular)</t>
  </si>
  <si>
    <t>Full Time Employees (Overtime)</t>
  </si>
  <si>
    <t>Part-time Employees</t>
  </si>
  <si>
    <t>101-11300-122</t>
  </si>
  <si>
    <t>101-11300-123</t>
  </si>
  <si>
    <t>101-11300-321</t>
  </si>
  <si>
    <t>101-11300-322</t>
  </si>
  <si>
    <t>101-11300-361</t>
  </si>
  <si>
    <t>101-11300-943</t>
  </si>
  <si>
    <t>101-11300-944</t>
  </si>
  <si>
    <t>101-11300-946</t>
  </si>
  <si>
    <t>101-11300-949</t>
  </si>
  <si>
    <t>Miscellaneous (940-999)</t>
  </si>
  <si>
    <t>Miscellaneous/Other</t>
  </si>
  <si>
    <t>101-11300-950</t>
  </si>
  <si>
    <t>Sanitation/Recycle</t>
  </si>
  <si>
    <t>Programming (Library, Dare, etc)</t>
  </si>
  <si>
    <t>Power Purchase</t>
  </si>
  <si>
    <t>101-11300-990</t>
  </si>
  <si>
    <t>Depreciation (920)</t>
  </si>
  <si>
    <t>General</t>
  </si>
  <si>
    <t>101-11300-921</t>
  </si>
  <si>
    <t>Rentals and Leases (910)</t>
  </si>
  <si>
    <t>Office Equipment</t>
  </si>
  <si>
    <t>Other Equipment</t>
  </si>
  <si>
    <t>Machinery</t>
  </si>
  <si>
    <t>Building Space</t>
  </si>
  <si>
    <t>101-11300-913</t>
  </si>
  <si>
    <t>Repairs and Maintenance - Contractual (900)</t>
  </si>
  <si>
    <t>Buildings</t>
  </si>
  <si>
    <t>Structures</t>
  </si>
  <si>
    <t>Other than Buildings</t>
  </si>
  <si>
    <t>Machinery and Equipment</t>
  </si>
  <si>
    <t>101-11300-903</t>
  </si>
  <si>
    <t>Utility Services (380)</t>
  </si>
  <si>
    <t>Electric</t>
  </si>
  <si>
    <t>Water</t>
  </si>
  <si>
    <t>Gas</t>
  </si>
  <si>
    <t>Refuse</t>
  </si>
  <si>
    <t>Sewer</t>
  </si>
  <si>
    <t>101-11300-381</t>
  </si>
  <si>
    <t>101-11300-382</t>
  </si>
  <si>
    <t>101-11300-383</t>
  </si>
  <si>
    <t>101-11300-385</t>
  </si>
  <si>
    <t>Insurance (360)</t>
  </si>
  <si>
    <t>101-11300-362</t>
  </si>
  <si>
    <t>101-11300-363</t>
  </si>
  <si>
    <t>Property</t>
  </si>
  <si>
    <t>Automotive</t>
  </si>
  <si>
    <t>Dram Shop</t>
  </si>
  <si>
    <t>101-11300-351</t>
  </si>
  <si>
    <t>Printing (350)</t>
  </si>
  <si>
    <t>Legal Notices</t>
  </si>
  <si>
    <t>101-11300-352</t>
  </si>
  <si>
    <t>General Notice and Public Info</t>
  </si>
  <si>
    <t>101-11300-353</t>
  </si>
  <si>
    <t>Ordinance Publication</t>
  </si>
  <si>
    <t>Advertising (340)</t>
  </si>
  <si>
    <t>101-11300-341</t>
  </si>
  <si>
    <t>Employment - Administrative</t>
  </si>
  <si>
    <t>Employment - Liquor Store</t>
  </si>
  <si>
    <t>Employment - Other</t>
  </si>
  <si>
    <t>Other - Administrative</t>
  </si>
  <si>
    <t>Other - Liquor Store</t>
  </si>
  <si>
    <t>Transportation (330)</t>
  </si>
  <si>
    <t>101-11300-331</t>
  </si>
  <si>
    <t>Travel Expense</t>
  </si>
  <si>
    <t>Miscellaneous Revenue - Collect for Others</t>
  </si>
  <si>
    <t>Refunds &amp; Reimbursements</t>
  </si>
  <si>
    <t xml:space="preserve">Non-Revenue Refunds &amp; Reimbursements </t>
  </si>
  <si>
    <t>Equipment Parts</t>
  </si>
  <si>
    <t>Tires</t>
  </si>
  <si>
    <t>101-11300-223</t>
  </si>
  <si>
    <t>Building Repair Supplies</t>
  </si>
  <si>
    <t>Street Maintenance Materials</t>
  </si>
  <si>
    <t>Landscaping Materials</t>
  </si>
  <si>
    <t>Sign and Sign Repair Materials</t>
  </si>
  <si>
    <t>Utility System</t>
  </si>
  <si>
    <t>Small Tools and Minor Equipment</t>
  </si>
  <si>
    <t>Operating Supplies (210)</t>
  </si>
  <si>
    <t>101-11300-211</t>
  </si>
  <si>
    <t>Cleaning Supplies</t>
  </si>
  <si>
    <t>101-11300-212</t>
  </si>
  <si>
    <t>Motor Fuels and Vehicle Repair</t>
  </si>
  <si>
    <t>615-00000-35500</t>
  </si>
  <si>
    <t>Misc Revenue</t>
  </si>
  <si>
    <t>625-00000-35200</t>
  </si>
  <si>
    <t>620-00000-35100</t>
  </si>
  <si>
    <t>620-00000-35500</t>
  </si>
  <si>
    <t>620-00000-36500</t>
  </si>
  <si>
    <t>Misc Revenue - Other</t>
  </si>
  <si>
    <t>650-00000-38800</t>
  </si>
  <si>
    <t>Tax Exempt - Misc</t>
  </si>
  <si>
    <t>650-00000-39100</t>
  </si>
  <si>
    <t>Sales - Liquor On</t>
  </si>
  <si>
    <t>650-00000-39200</t>
  </si>
  <si>
    <t>Sales - Liquor Off</t>
  </si>
  <si>
    <t>650-00000-39300</t>
  </si>
  <si>
    <t>Sales - Beer On</t>
  </si>
  <si>
    <t>650-00000-39400</t>
  </si>
  <si>
    <t>Sales - Beer Off</t>
  </si>
  <si>
    <t>650-00000-39500</t>
  </si>
  <si>
    <t>Sales - Chips - Nuts - Pop</t>
  </si>
  <si>
    <t>650-00000-39600</t>
  </si>
  <si>
    <t>Sales - Wine Off</t>
  </si>
  <si>
    <t>Lubricants and Additives</t>
  </si>
  <si>
    <t>270-00000-122</t>
  </si>
  <si>
    <t>270-00000-123</t>
  </si>
  <si>
    <t>270-00000-211</t>
  </si>
  <si>
    <t>101-11100-105</t>
  </si>
  <si>
    <t>Temporary (Regular)</t>
  </si>
  <si>
    <t>101-11100-121</t>
  </si>
  <si>
    <t>101-11100-122</t>
  </si>
  <si>
    <t>101-11300-151</t>
  </si>
  <si>
    <t>Insurance Premiums</t>
  </si>
  <si>
    <t>Employer Paid Insurance (130)</t>
  </si>
  <si>
    <t>101-11300-131</t>
  </si>
  <si>
    <t>Health</t>
  </si>
  <si>
    <t>101-11300-132</t>
  </si>
  <si>
    <t>Dental</t>
  </si>
  <si>
    <t>Contributions for Retirement (120)</t>
  </si>
  <si>
    <t>101-11300-121</t>
  </si>
  <si>
    <t>PERA</t>
  </si>
  <si>
    <t>Police Pension</t>
  </si>
  <si>
    <t>Wages and Salaries (100)</t>
  </si>
  <si>
    <t>101-11300-103</t>
  </si>
  <si>
    <t>Bond Principal</t>
  </si>
  <si>
    <t>Bond Interest</t>
  </si>
  <si>
    <t>Fiscal Charges</t>
  </si>
  <si>
    <t>Legal Charges</t>
  </si>
  <si>
    <t>Misc Other</t>
  </si>
  <si>
    <t>Ad Valorem Taxes</t>
  </si>
  <si>
    <t>Tax Increments</t>
  </si>
  <si>
    <t>Developer Payments</t>
  </si>
  <si>
    <t>Public Donations</t>
  </si>
  <si>
    <t>BUDGET SUMMARY</t>
  </si>
  <si>
    <t>General Fund</t>
  </si>
  <si>
    <t>Legal</t>
  </si>
  <si>
    <t>Tax Abatement</t>
  </si>
  <si>
    <t>101-12100-103</t>
  </si>
  <si>
    <t>101-12100-121</t>
  </si>
  <si>
    <t>101-12100-122</t>
  </si>
  <si>
    <t>101-12100-123</t>
  </si>
  <si>
    <t>101-12100-124</t>
  </si>
  <si>
    <t>101-12100-131</t>
  </si>
  <si>
    <t>101-12100-132</t>
  </si>
  <si>
    <t>101-12100-151</t>
  </si>
  <si>
    <t>101-12100-201</t>
  </si>
  <si>
    <t>101-12100-205</t>
  </si>
  <si>
    <t>101-12100-211</t>
  </si>
  <si>
    <t>101-12100-212</t>
  </si>
  <si>
    <t>101-12100-213</t>
  </si>
  <si>
    <t>101-12100-217</t>
  </si>
  <si>
    <t>101-12100-221</t>
  </si>
  <si>
    <t>101-12100-222</t>
  </si>
  <si>
    <t>101-12100-240</t>
  </si>
  <si>
    <t>101-12100-260</t>
  </si>
  <si>
    <t>101-12100-301</t>
  </si>
  <si>
    <t>101-12100-304</t>
  </si>
  <si>
    <t>101-12100-321</t>
  </si>
  <si>
    <t>101-12100-322</t>
  </si>
  <si>
    <t>101-12100-331</t>
  </si>
  <si>
    <t>101-12100-344</t>
  </si>
  <si>
    <t>101-12100-352</t>
  </si>
  <si>
    <t>101-12100-363</t>
  </si>
  <si>
    <t>101-12100-381</t>
  </si>
  <si>
    <t>101-12100-382</t>
  </si>
  <si>
    <t>101-12100-383</t>
  </si>
  <si>
    <t>101-12100-901</t>
  </si>
  <si>
    <t>101-12100-903</t>
  </si>
  <si>
    <t>101-12100-918</t>
  </si>
  <si>
    <t>101-12100-921</t>
  </si>
  <si>
    <t>101-12100-943</t>
  </si>
  <si>
    <t>101-12100-946</t>
  </si>
  <si>
    <t>101-12100-949</t>
  </si>
  <si>
    <t>101-12100-960</t>
  </si>
  <si>
    <t>101-12200-103</t>
  </si>
  <si>
    <t>101-12200-122</t>
  </si>
  <si>
    <t>101-12200-123</t>
  </si>
  <si>
    <t>101-12200-124</t>
  </si>
  <si>
    <t>101-12200-125</t>
  </si>
  <si>
    <t>101-12200-151</t>
  </si>
  <si>
    <t>101-12200-205</t>
  </si>
  <si>
    <t>101-12200-212</t>
  </si>
  <si>
    <t>101-12200-216</t>
  </si>
  <si>
    <t>101-12200-221</t>
  </si>
  <si>
    <t>101-12200-223</t>
  </si>
  <si>
    <t>101-12200-240</t>
  </si>
  <si>
    <t>101-12200-260</t>
  </si>
  <si>
    <t>101-12200-301</t>
  </si>
  <si>
    <t>101-12200-309</t>
  </si>
  <si>
    <t>101-12200-310</t>
  </si>
  <si>
    <t>101-12200-311</t>
  </si>
  <si>
    <t>101-12200-321</t>
  </si>
  <si>
    <t>101-12200-322</t>
  </si>
  <si>
    <t>101-12200-323</t>
  </si>
  <si>
    <t>101-12200-331</t>
  </si>
  <si>
    <t>101-12200-343</t>
  </si>
  <si>
    <t>101-12200-344</t>
  </si>
  <si>
    <t>101-12200-352</t>
  </si>
  <si>
    <t>101-12200-361</t>
  </si>
  <si>
    <t>101-12200-362</t>
  </si>
  <si>
    <t>101-12200-363</t>
  </si>
  <si>
    <t>101-12200-381</t>
  </si>
  <si>
    <t>101-12200-382</t>
  </si>
  <si>
    <t>101-12200-383</t>
  </si>
  <si>
    <t>101-12200-385</t>
  </si>
  <si>
    <t>101-12200-901</t>
  </si>
  <si>
    <t>101-12200-904</t>
  </si>
  <si>
    <t>101-12200-915</t>
  </si>
  <si>
    <t>101-12200-916</t>
  </si>
  <si>
    <t>101-12200-921</t>
  </si>
  <si>
    <t>101-12200-943</t>
  </si>
  <si>
    <t>101-12200-944</t>
  </si>
  <si>
    <t>101-12200-946</t>
  </si>
  <si>
    <t>101-12200-947</t>
  </si>
  <si>
    <t>101-12200-949</t>
  </si>
  <si>
    <t>101-13100-101</t>
  </si>
  <si>
    <t>101-13100-102</t>
  </si>
  <si>
    <t>101-13100-121</t>
  </si>
  <si>
    <t>101-13100-122</t>
  </si>
  <si>
    <t>101-13100-123</t>
  </si>
  <si>
    <t>101-13100-131</t>
  </si>
  <si>
    <t>101-13100-132</t>
  </si>
  <si>
    <t>101-13100-151</t>
  </si>
  <si>
    <t>101-13100-205</t>
  </si>
  <si>
    <t>101-13100-211</t>
  </si>
  <si>
    <t>101-13100-212</t>
  </si>
  <si>
    <t>101-13100-213</t>
  </si>
  <si>
    <t>101-13100-215</t>
  </si>
  <si>
    <t>101-13100-216</t>
  </si>
  <si>
    <t>101-13100-217</t>
  </si>
  <si>
    <t>101-13100-221</t>
  </si>
  <si>
    <t>101-13100-222</t>
  </si>
  <si>
    <t>101-13100-224</t>
  </si>
  <si>
    <t>101-13100-226</t>
  </si>
  <si>
    <t>101-13100-240</t>
  </si>
  <si>
    <t>101-13100-258</t>
  </si>
  <si>
    <t>101-13100-301</t>
  </si>
  <si>
    <t>101-13100-311</t>
  </si>
  <si>
    <t>101-13100-321</t>
  </si>
  <si>
    <t>101-13100-331</t>
  </si>
  <si>
    <t>101-13100-344</t>
  </si>
  <si>
    <t>101-13100-351</t>
  </si>
  <si>
    <t>101-13100-361</t>
  </si>
  <si>
    <t>101-13100-362</t>
  </si>
  <si>
    <t>101-13100-363</t>
  </si>
  <si>
    <t>101-13100-381</t>
  </si>
  <si>
    <t>101-13100-382</t>
  </si>
  <si>
    <t>101-13100-383</t>
  </si>
  <si>
    <t>101-13100-384</t>
  </si>
  <si>
    <t>101-13100-385</t>
  </si>
  <si>
    <t>101-13100-903</t>
  </si>
  <si>
    <t>101-13100-904</t>
  </si>
  <si>
    <t>101-13100-916</t>
  </si>
  <si>
    <t>101-13100-921</t>
  </si>
  <si>
    <t>101-13100-943</t>
  </si>
  <si>
    <t>101-13100-945</t>
  </si>
  <si>
    <t>101-13100-949</t>
  </si>
  <si>
    <t>101-13100-950</t>
  </si>
  <si>
    <t>101-14100-122</t>
  </si>
  <si>
    <t>101-14100-123</t>
  </si>
  <si>
    <t>101-14100-131</t>
  </si>
  <si>
    <t>101-14100-132</t>
  </si>
  <si>
    <t>101-14100-151</t>
  </si>
  <si>
    <t>101-14100-202</t>
  </si>
  <si>
    <t>101-14100-212</t>
  </si>
  <si>
    <t>101-14100-213</t>
  </si>
  <si>
    <t>101-14100-216</t>
  </si>
  <si>
    <t>101-14100-217</t>
  </si>
  <si>
    <t>101-14100-221</t>
  </si>
  <si>
    <t>101-14100-224</t>
  </si>
  <si>
    <t>101-14100-225</t>
  </si>
  <si>
    <t>101-14100-226</t>
  </si>
  <si>
    <t>101-14100-240</t>
  </si>
  <si>
    <t>101-14100-260</t>
  </si>
  <si>
    <t>101-14100-311</t>
  </si>
  <si>
    <t>101-14100-321</t>
  </si>
  <si>
    <t>101-14100-331</t>
  </si>
  <si>
    <t>101-14100-344</t>
  </si>
  <si>
    <t>101-14100-352</t>
  </si>
  <si>
    <t>101-14100-361</t>
  </si>
  <si>
    <t>101-14100-362</t>
  </si>
  <si>
    <t>101-14100-363</t>
  </si>
  <si>
    <t>101-14100-381</t>
  </si>
  <si>
    <t>101-14100-383</t>
  </si>
  <si>
    <t>101-14100-384</t>
  </si>
  <si>
    <t>101-14100-903</t>
  </si>
  <si>
    <t>101-14100-904</t>
  </si>
  <si>
    <t>101-14100-915</t>
  </si>
  <si>
    <t>101-14100-916</t>
  </si>
  <si>
    <t>101-14100-917</t>
  </si>
  <si>
    <t>101-14100-921</t>
  </si>
  <si>
    <t>101-14100-943</t>
  </si>
  <si>
    <t>101-14100-945</t>
  </si>
  <si>
    <t>101-14100-949</t>
  </si>
  <si>
    <t>101-14200-105</t>
  </si>
  <si>
    <t>101-14200-122</t>
  </si>
  <si>
    <t>101-14200-123</t>
  </si>
  <si>
    <t>101-14200-151</t>
  </si>
  <si>
    <t>101-14200-201</t>
  </si>
  <si>
    <t>101-14200-202</t>
  </si>
  <si>
    <t>101-14200-203</t>
  </si>
  <si>
    <t>101-14200-205</t>
  </si>
  <si>
    <t>101-14200-211</t>
  </si>
  <si>
    <t>101-14200-216</t>
  </si>
  <si>
    <t>101-14200-217</t>
  </si>
  <si>
    <t>101-14200-221</t>
  </si>
  <si>
    <t>101-14200-223</t>
  </si>
  <si>
    <t>101-14200-226</t>
  </si>
  <si>
    <t>101-14200-240</t>
  </si>
  <si>
    <t>101-14200-309</t>
  </si>
  <si>
    <t>101-14200-321</t>
  </si>
  <si>
    <t>101-14200-331</t>
  </si>
  <si>
    <t>101-14200-343</t>
  </si>
  <si>
    <t>101-14200-344</t>
  </si>
  <si>
    <t>101-14200-352</t>
  </si>
  <si>
    <t>101-14200-361</t>
  </si>
  <si>
    <t>101-14200-362</t>
  </si>
  <si>
    <t>101-14200-381</t>
  </si>
  <si>
    <t>101-14200-382</t>
  </si>
  <si>
    <t>101-14200-383</t>
  </si>
  <si>
    <t>101-14200-384</t>
  </si>
  <si>
    <t>101-14200-385</t>
  </si>
  <si>
    <t>101-14200-902</t>
  </si>
  <si>
    <t>101-14200-903</t>
  </si>
  <si>
    <t>101-14200-915</t>
  </si>
  <si>
    <t>101-14200-921</t>
  </si>
  <si>
    <t>101-14200-943</t>
  </si>
  <si>
    <t>101-14200-946</t>
  </si>
  <si>
    <t>101-14200-949</t>
  </si>
  <si>
    <t>101-14300-105</t>
  </si>
  <si>
    <t>101-14300-122</t>
  </si>
  <si>
    <t>101-14300-123</t>
  </si>
  <si>
    <t>101-14300-151</t>
  </si>
  <si>
    <t>101-14300-202</t>
  </si>
  <si>
    <t>101-14300-217</t>
  </si>
  <si>
    <t>101-14300-260</t>
  </si>
  <si>
    <t>101-14300-343</t>
  </si>
  <si>
    <t>101-14300-344</t>
  </si>
  <si>
    <t>101-14300-352</t>
  </si>
  <si>
    <t>101-14300-361</t>
  </si>
  <si>
    <t>101-14300-918</t>
  </si>
  <si>
    <t>101-14300-921</t>
  </si>
  <si>
    <t>101-14300-949</t>
  </si>
  <si>
    <t>101-14300-960</t>
  </si>
  <si>
    <t>615-00000-101</t>
  </si>
  <si>
    <t>615-00000-102</t>
  </si>
  <si>
    <t>615-00000-121</t>
  </si>
  <si>
    <t>615-00000-122</t>
  </si>
  <si>
    <t>615-00000-123</t>
  </si>
  <si>
    <t>615-00000-131</t>
  </si>
  <si>
    <t>615-00000-132</t>
  </si>
  <si>
    <t>615-00000-151</t>
  </si>
  <si>
    <t>615-00000-203</t>
  </si>
  <si>
    <t>615-00000-204</t>
  </si>
  <si>
    <t>615-00000-205</t>
  </si>
  <si>
    <t>615-00000-211</t>
  </si>
  <si>
    <t>615-00000-212</t>
  </si>
  <si>
    <t>615-00000-215</t>
  </si>
  <si>
    <t>615-00000-216</t>
  </si>
  <si>
    <t>615-00000-217</t>
  </si>
  <si>
    <t>615-00000-221</t>
  </si>
  <si>
    <t>615-00000-222</t>
  </si>
  <si>
    <t>615-00000-223</t>
  </si>
  <si>
    <t>615-00000-227</t>
  </si>
  <si>
    <t>615-00000-240</t>
  </si>
  <si>
    <t>615-00000-301</t>
  </si>
  <si>
    <t>615-00000-303</t>
  </si>
  <si>
    <t>615-00000-309</t>
  </si>
  <si>
    <t>615-00000-311</t>
  </si>
  <si>
    <t>615-00000-321</t>
  </si>
  <si>
    <t>615-00000-322</t>
  </si>
  <si>
    <t>615-00000-331</t>
  </si>
  <si>
    <t>615-00000-352</t>
  </si>
  <si>
    <t>615-00000-361</t>
  </si>
  <si>
    <t>615-00000-362</t>
  </si>
  <si>
    <t>615-00000-363</t>
  </si>
  <si>
    <t>615-00000-381</t>
  </si>
  <si>
    <t>615-00000-903</t>
  </si>
  <si>
    <t>615-00000-904</t>
  </si>
  <si>
    <t>615-00000-918</t>
  </si>
  <si>
    <t>615-00000-921</t>
  </si>
  <si>
    <t>615-00000-943</t>
  </si>
  <si>
    <t>615-00000-946</t>
  </si>
  <si>
    <t>615-00000-949</t>
  </si>
  <si>
    <t>615-00000-980</t>
  </si>
  <si>
    <t>620-00000-101</t>
  </si>
  <si>
    <t>620-00000-102</t>
  </si>
  <si>
    <t>620-00000-121</t>
  </si>
  <si>
    <t>620-00000-122</t>
  </si>
  <si>
    <t>620-00000-123</t>
  </si>
  <si>
    <t>620-00000-131</t>
  </si>
  <si>
    <t>620-00000-132</t>
  </si>
  <si>
    <t>620-00000-151</t>
  </si>
  <si>
    <t>620-00000-216</t>
  </si>
  <si>
    <t>620-00000-217</t>
  </si>
  <si>
    <t>620-00000-221</t>
  </si>
  <si>
    <t>620-00000-260</t>
  </si>
  <si>
    <t>620-00000-301</t>
  </si>
  <si>
    <t>620-00000-303</t>
  </si>
  <si>
    <t>620-00000-309</t>
  </si>
  <si>
    <t>620-00000-311</t>
  </si>
  <si>
    <t>620-00000-321</t>
  </si>
  <si>
    <t>620-00000-331</t>
  </si>
  <si>
    <t>620-00000-344</t>
  </si>
  <si>
    <t>620-00000-351</t>
  </si>
  <si>
    <t>620-00000-352</t>
  </si>
  <si>
    <t>620-00000-361</t>
  </si>
  <si>
    <t>620-00000-362</t>
  </si>
  <si>
    <t>620-00000-381</t>
  </si>
  <si>
    <t>620-00000-903</t>
  </si>
  <si>
    <t>620-00000-915</t>
  </si>
  <si>
    <t>620-00000-921</t>
  </si>
  <si>
    <t>620-00000-943</t>
  </si>
  <si>
    <t>620-00000-946</t>
  </si>
  <si>
    <t>620-00000-949</t>
  </si>
  <si>
    <t>625-00000-101</t>
  </si>
  <si>
    <t>625-00000-102</t>
  </si>
  <si>
    <t>625-00000-121</t>
  </si>
  <si>
    <t>625-00000-122</t>
  </si>
  <si>
    <t>625-00000-123</t>
  </si>
  <si>
    <t>625-00000-131</t>
  </si>
  <si>
    <t>625-00000-132</t>
  </si>
  <si>
    <t>625-00000-151</t>
  </si>
  <si>
    <t>625-00000-211</t>
  </si>
  <si>
    <t>625-00000-212</t>
  </si>
  <si>
    <t>625-00000-213</t>
  </si>
  <si>
    <t>625-00000-216</t>
  </si>
  <si>
    <t>625-00000-217</t>
  </si>
  <si>
    <t>625-00000-221</t>
  </si>
  <si>
    <t>625-00000-222</t>
  </si>
  <si>
    <t>625-00000-223</t>
  </si>
  <si>
    <t>625-00000-225</t>
  </si>
  <si>
    <t>625-00000-240</t>
  </si>
  <si>
    <t>625-00000-260</t>
  </si>
  <si>
    <t>625-00000-301</t>
  </si>
  <si>
    <t>625-00000-303</t>
  </si>
  <si>
    <t>625-00000-309</t>
  </si>
  <si>
    <t>625-00000-311</t>
  </si>
  <si>
    <t>625-00000-321</t>
  </si>
  <si>
    <t>625-00000-331</t>
  </si>
  <si>
    <t>625-00000-352</t>
  </si>
  <si>
    <t>625-00000-362</t>
  </si>
  <si>
    <t>625-00000-363</t>
  </si>
  <si>
    <t>625-00000-381</t>
  </si>
  <si>
    <t>625-00000-382</t>
  </si>
  <si>
    <t>625-00000-383</t>
  </si>
  <si>
    <t>625-00000-901</t>
  </si>
  <si>
    <t>625-00000-902</t>
  </si>
  <si>
    <t>625-00000-903</t>
  </si>
  <si>
    <t>625-00000-904</t>
  </si>
  <si>
    <t>625-00000-918</t>
  </si>
  <si>
    <t>625-00000-921</t>
  </si>
  <si>
    <t>625-00000-943</t>
  </si>
  <si>
    <t>625-00000-944</t>
  </si>
  <si>
    <t>625-00000-946</t>
  </si>
  <si>
    <t>625-00000-949</t>
  </si>
  <si>
    <t>650-00000-101</t>
  </si>
  <si>
    <t>650-00000-103</t>
  </si>
  <si>
    <t>650-00000-121</t>
  </si>
  <si>
    <t>650-00000-122</t>
  </si>
  <si>
    <t>650-00000-123</t>
  </si>
  <si>
    <t>650-00000-131</t>
  </si>
  <si>
    <t>650-00000-151</t>
  </si>
  <si>
    <t>650-00000-201</t>
  </si>
  <si>
    <t>650-00000-202</t>
  </si>
  <si>
    <t>650-00000-203</t>
  </si>
  <si>
    <t>650-00000-205</t>
  </si>
  <si>
    <t>650-00000-211</t>
  </si>
  <si>
    <t xml:space="preserve">650-00000-214 </t>
  </si>
  <si>
    <t>650-00000-216</t>
  </si>
  <si>
    <t>650-00000-217</t>
  </si>
  <si>
    <t>650-00000-221</t>
  </si>
  <si>
    <t>650-00000-223</t>
  </si>
  <si>
    <t>650-00000-226</t>
  </si>
  <si>
    <t>650-00000-240</t>
  </si>
  <si>
    <t>650-00000-251</t>
  </si>
  <si>
    <t>650-00000-252</t>
  </si>
  <si>
    <t>650-00000-253</t>
  </si>
  <si>
    <t>650-00000-254</t>
  </si>
  <si>
    <t>650-00000-255</t>
  </si>
  <si>
    <t>650-00000-301</t>
  </si>
  <si>
    <t>650-00000-321</t>
  </si>
  <si>
    <t>650-00000-333</t>
  </si>
  <si>
    <t>650-00000-342</t>
  </si>
  <si>
    <t>650-00000-344</t>
  </si>
  <si>
    <t>650-00000-345</t>
  </si>
  <si>
    <t>650-00000-352</t>
  </si>
  <si>
    <t>650-00000-361</t>
  </si>
  <si>
    <t>650-00000-362</t>
  </si>
  <si>
    <t>650-00000-364</t>
  </si>
  <si>
    <t>650-00000-381</t>
  </si>
  <si>
    <t>650-00000-382</t>
  </si>
  <si>
    <t>650-00000-383</t>
  </si>
  <si>
    <t>650-00000-384</t>
  </si>
  <si>
    <t>650-00000-385</t>
  </si>
  <si>
    <t>650-00000-901</t>
  </si>
  <si>
    <t>650-00000-943</t>
  </si>
  <si>
    <t>650-00000-946</t>
  </si>
  <si>
    <t>650-00000-949</t>
  </si>
  <si>
    <t>Fest Building</t>
  </si>
  <si>
    <t>Property Tax - General Revenue</t>
  </si>
  <si>
    <t>Local Government Aid - General</t>
  </si>
  <si>
    <t>License &amp; Permits - Liquor</t>
  </si>
  <si>
    <t>License &amp; Permits - Building/Zoning</t>
  </si>
  <si>
    <t>License &amp; Permits - Other</t>
  </si>
  <si>
    <t>License &amp; Permits - Animal</t>
  </si>
  <si>
    <t>Houston County Funding</t>
  </si>
  <si>
    <t>Inter-Governmental - State Grant</t>
  </si>
  <si>
    <t>Inter-Governmental - State Police Aid</t>
  </si>
  <si>
    <t>Inter-Governmental - State Fire Relief Aid</t>
  </si>
  <si>
    <t>Charges for Service - Overnight Parking</t>
  </si>
  <si>
    <t>Charges for Service - Other</t>
  </si>
  <si>
    <t>Inter-Government - Other</t>
  </si>
  <si>
    <t>Fines &amp; Forfeits - Court Fines</t>
  </si>
  <si>
    <t>Utility Sales/Service</t>
  </si>
  <si>
    <t>Charges for Service - Aquatic Center</t>
  </si>
  <si>
    <t>11300 Administration</t>
  </si>
  <si>
    <t>11200 Council</t>
  </si>
  <si>
    <t>11100 Elections</t>
  </si>
  <si>
    <t xml:space="preserve">EDA </t>
  </si>
  <si>
    <t>General Fund Revenues</t>
  </si>
  <si>
    <t>Contributions to Retirement (120)</t>
  </si>
  <si>
    <t>Insurance Premium</t>
  </si>
  <si>
    <t>12200 Fire</t>
  </si>
  <si>
    <t>14100 Parks</t>
  </si>
  <si>
    <t>Transfer Out (720)</t>
  </si>
  <si>
    <t>To General Fund</t>
  </si>
  <si>
    <t>Debt Service Fund</t>
  </si>
  <si>
    <t>Ambulance Aid</t>
  </si>
  <si>
    <t>CITY OF SPRING GROVE</t>
  </si>
  <si>
    <t>101-14100-901</t>
  </si>
  <si>
    <t>101-13100-105</t>
  </si>
  <si>
    <t>101-14100-105</t>
  </si>
  <si>
    <t>101-11300-344</t>
  </si>
  <si>
    <t>Capital Outlay (500)</t>
  </si>
  <si>
    <t>101-12200-580</t>
  </si>
  <si>
    <t>Capital Expense (500)</t>
  </si>
  <si>
    <t>Communications</t>
  </si>
  <si>
    <t>650-00000-520</t>
  </si>
  <si>
    <t>Buildings and Structures</t>
  </si>
  <si>
    <t>650-00000-530</t>
  </si>
  <si>
    <t>Improvements - Other</t>
  </si>
  <si>
    <t>101-12100-361</t>
  </si>
  <si>
    <t>101-12100-362</t>
  </si>
  <si>
    <t>Building</t>
  </si>
  <si>
    <t>Budget</t>
  </si>
  <si>
    <t>Actual</t>
  </si>
  <si>
    <t>101-14200-225</t>
  </si>
  <si>
    <t>101-14200-311</t>
  </si>
  <si>
    <t>101-14200-341</t>
  </si>
  <si>
    <t>101-14200-254</t>
  </si>
  <si>
    <t>101-14200-257</t>
  </si>
  <si>
    <t>101-14200-410</t>
  </si>
  <si>
    <t>previous wage account</t>
  </si>
  <si>
    <t>620-00000-363</t>
  </si>
  <si>
    <t>Vehicle</t>
  </si>
  <si>
    <t>101-11200-946</t>
  </si>
  <si>
    <t>101-11300-105</t>
  </si>
  <si>
    <t>101-11300-217</t>
  </si>
  <si>
    <t>101-11300-221</t>
  </si>
  <si>
    <t>101-11300-384</t>
  </si>
  <si>
    <t>101-11300-570</t>
  </si>
  <si>
    <t>Office Equipment and Furnishings</t>
  </si>
  <si>
    <t>101-11300-901</t>
  </si>
  <si>
    <t>101-11300-904</t>
  </si>
  <si>
    <t>101-12100-550</t>
  </si>
  <si>
    <t>101-12100-570</t>
  </si>
  <si>
    <t>Other (including labor)</t>
  </si>
  <si>
    <t>Other (Including Labor)</t>
  </si>
  <si>
    <t>101-14100-303</t>
  </si>
  <si>
    <t>Engineering</t>
  </si>
  <si>
    <t>101-14100-103</t>
  </si>
  <si>
    <t>Part-Time Employees (Regular)</t>
  </si>
  <si>
    <t>101-14100-211</t>
  </si>
  <si>
    <t>101-14100-223</t>
  </si>
  <si>
    <t>101-14100-343</t>
  </si>
  <si>
    <t>101-14100-382</t>
  </si>
  <si>
    <t>101-14100-385</t>
  </si>
  <si>
    <t>101-12200-201</t>
  </si>
  <si>
    <t>101-12200-204</t>
  </si>
  <si>
    <t>101-12200-211</t>
  </si>
  <si>
    <t>Accessories</t>
  </si>
  <si>
    <t>Envelopes and Letterhead</t>
  </si>
  <si>
    <t>101-12200-217</t>
  </si>
  <si>
    <t>101-12200-341</t>
  </si>
  <si>
    <t>101-12200-903</t>
  </si>
  <si>
    <t>101-13100-520</t>
  </si>
  <si>
    <t>101-13100-103</t>
  </si>
  <si>
    <t>Part Time Employees</t>
  </si>
  <si>
    <t>101-13100-352</t>
  </si>
  <si>
    <t>General Notice and Public Information</t>
  </si>
  <si>
    <t>101-13100-540</t>
  </si>
  <si>
    <t>Heavy Machinery</t>
  </si>
  <si>
    <t>Motor Vehicles</t>
  </si>
  <si>
    <t>101-11200-990</t>
  </si>
  <si>
    <t>101-11200-331</t>
  </si>
  <si>
    <t>101-11200-351</t>
  </si>
  <si>
    <t>101-11200-352</t>
  </si>
  <si>
    <t>101-11200-217</t>
  </si>
  <si>
    <t>Operating Supplies</t>
  </si>
  <si>
    <t>Legal Notice</t>
  </si>
  <si>
    <t>101-11300-226</t>
  </si>
  <si>
    <t>Sign Repair</t>
  </si>
  <si>
    <t>101-11300-945</t>
  </si>
  <si>
    <t>Programming</t>
  </si>
  <si>
    <t>101-12200-203</t>
  </si>
  <si>
    <t>Printing Forms</t>
  </si>
  <si>
    <t>101-13100-530</t>
  </si>
  <si>
    <t>Improvements</t>
  </si>
  <si>
    <t>101-13100-946</t>
  </si>
  <si>
    <t>Conferences</t>
  </si>
  <si>
    <t>101-14100-560</t>
  </si>
  <si>
    <t>Furniture</t>
  </si>
  <si>
    <t>101-14200-947</t>
  </si>
  <si>
    <t>Mileage Parking</t>
  </si>
  <si>
    <t>Ice Cream</t>
  </si>
  <si>
    <t>Soft Drinks</t>
  </si>
  <si>
    <t>101-14300-945</t>
  </si>
  <si>
    <t>101-14300-943</t>
  </si>
  <si>
    <t>Dues, Fees</t>
  </si>
  <si>
    <t>101-14300-205</t>
  </si>
  <si>
    <t>Other Supplies</t>
  </si>
  <si>
    <t>Landscaping</t>
  </si>
  <si>
    <t>270-00000-151</t>
  </si>
  <si>
    <t>270-00000-223</t>
  </si>
  <si>
    <t>Building Repair</t>
  </si>
  <si>
    <t>270-00000-321</t>
  </si>
  <si>
    <t>270-00000-205</t>
  </si>
  <si>
    <t>Workman's Compensation</t>
  </si>
  <si>
    <t>Unemployment Compensation</t>
  </si>
  <si>
    <t>101-11200-142</t>
  </si>
  <si>
    <t>Benefit Payment</t>
  </si>
  <si>
    <t>620-00000-322</t>
  </si>
  <si>
    <t>620-00000-224</t>
  </si>
  <si>
    <t>Street Maintenance</t>
  </si>
  <si>
    <t>620-00000-227</t>
  </si>
  <si>
    <t>620-00000-212</t>
  </si>
  <si>
    <t>Motor Fuels</t>
  </si>
  <si>
    <t>620-00000-205</t>
  </si>
  <si>
    <t>625-00000-205</t>
  </si>
  <si>
    <t>625-00000-224</t>
  </si>
  <si>
    <t>Pera Rate Increase Aid</t>
  </si>
  <si>
    <t>Charges for Service - Parks</t>
  </si>
  <si>
    <t>615-00000-31600</t>
  </si>
  <si>
    <t>License &amp; Permits</t>
  </si>
  <si>
    <t>615-00000-35100</t>
  </si>
  <si>
    <t>615-00000-37300</t>
  </si>
  <si>
    <t>620-00000-31600</t>
  </si>
  <si>
    <t>625-00000-36506</t>
  </si>
  <si>
    <t>Misc Revenue - LMC</t>
  </si>
  <si>
    <t>650-00000-36000</t>
  </si>
  <si>
    <t>Misc Rev</t>
  </si>
  <si>
    <t>Inter-Governmental - Federal</t>
  </si>
  <si>
    <t>270-00000-36400</t>
  </si>
  <si>
    <t>Misc Revenue - Contributions</t>
  </si>
  <si>
    <t>625-00000-31600</t>
  </si>
  <si>
    <t>License &amp; Permit</t>
  </si>
  <si>
    <t>625-00000-35500</t>
  </si>
  <si>
    <t>650-00000-331</t>
  </si>
  <si>
    <t>620-00000-530</t>
  </si>
  <si>
    <t>Improvements (not buildings)</t>
  </si>
  <si>
    <t>620-00000-901</t>
  </si>
  <si>
    <t>615-00000-901</t>
  </si>
  <si>
    <t>CIP</t>
  </si>
  <si>
    <t>Contributions</t>
  </si>
  <si>
    <t>Conference</t>
  </si>
  <si>
    <t>615-00000-490</t>
  </si>
  <si>
    <t>Expenses</t>
  </si>
  <si>
    <t>Old Pool</t>
  </si>
  <si>
    <t>Local Government Aid - State Fire Aid</t>
  </si>
  <si>
    <t>101-14200-260</t>
  </si>
  <si>
    <t>Copies and Miscellaneous</t>
  </si>
  <si>
    <t>101-12100-944</t>
  </si>
  <si>
    <t>Miscellaneous</t>
  </si>
  <si>
    <t>270-00000-916</t>
  </si>
  <si>
    <t>14200 SWIM Center</t>
  </si>
  <si>
    <t>Fund 610 Cable TV</t>
  </si>
  <si>
    <t>610-00000-103</t>
  </si>
  <si>
    <t>610-00000-122</t>
  </si>
  <si>
    <t>610-00000-123</t>
  </si>
  <si>
    <t>610-00000-205</t>
  </si>
  <si>
    <t>610-00000-217</t>
  </si>
  <si>
    <t>610-00000-570</t>
  </si>
  <si>
    <t>610-00000-580</t>
  </si>
  <si>
    <t>610-00000-946</t>
  </si>
  <si>
    <t>610-00000-949</t>
  </si>
  <si>
    <t>610-00000-36504</t>
  </si>
  <si>
    <t>101-14600-381</t>
  </si>
  <si>
    <t>101-14600-311</t>
  </si>
  <si>
    <t>Professional Services - Other</t>
  </si>
  <si>
    <t>Transfer In From 490</t>
  </si>
  <si>
    <t>Awards</t>
  </si>
  <si>
    <t>101-13100-303</t>
  </si>
  <si>
    <t>Transfer in from 480</t>
  </si>
  <si>
    <t>LGA/Fire &amp; PERA Aid</t>
  </si>
  <si>
    <t>Licenses and Permits</t>
  </si>
  <si>
    <t>SELCO</t>
  </si>
  <si>
    <t>Intergovernmental</t>
  </si>
  <si>
    <t>Charges for Service</t>
  </si>
  <si>
    <t>Refunds &amp; Reimbursement</t>
  </si>
  <si>
    <t>Transfers In</t>
  </si>
  <si>
    <t>Total Other Revenue</t>
  </si>
  <si>
    <t>Professional Services</t>
  </si>
  <si>
    <t>615-00000-36500</t>
  </si>
  <si>
    <t>146000 Old Pool</t>
  </si>
  <si>
    <t>12600 Animal Control</t>
  </si>
  <si>
    <t>101-12600-311</t>
  </si>
  <si>
    <t>630 Library</t>
  </si>
  <si>
    <t>630-00000-103</t>
  </si>
  <si>
    <t>630-00000-122</t>
  </si>
  <si>
    <t>630-00000-121</t>
  </si>
  <si>
    <t>630-00000-123</t>
  </si>
  <si>
    <t>630-00000-131</t>
  </si>
  <si>
    <t>630-00000-132</t>
  </si>
  <si>
    <t>630-00000-151</t>
  </si>
  <si>
    <t>630-00000-301</t>
  </si>
  <si>
    <t>630-00000-362</t>
  </si>
  <si>
    <t>630-00000-913</t>
  </si>
  <si>
    <t>630-00000-915</t>
  </si>
  <si>
    <t>630-00000-917</t>
  </si>
  <si>
    <t>630-00000-918</t>
  </si>
  <si>
    <t>Office Suppllies (200)</t>
  </si>
  <si>
    <t>630-00000-201</t>
  </si>
  <si>
    <t>630-00000-202</t>
  </si>
  <si>
    <t>630-00000-203</t>
  </si>
  <si>
    <t>Printed Forms</t>
  </si>
  <si>
    <t>630-00000-205</t>
  </si>
  <si>
    <t>Operation Supplies (210)</t>
  </si>
  <si>
    <t>630-00000-217</t>
  </si>
  <si>
    <t>630-00000-943</t>
  </si>
  <si>
    <t>Fees/Dues/Subscriptions</t>
  </si>
  <si>
    <t>630-00000-945</t>
  </si>
  <si>
    <t>630-00000-946</t>
  </si>
  <si>
    <t>630-00000-949</t>
  </si>
  <si>
    <t>630-00000-960</t>
  </si>
  <si>
    <t>630-00000-321</t>
  </si>
  <si>
    <t>630-00000-331</t>
  </si>
  <si>
    <t>630-00000-344</t>
  </si>
  <si>
    <t>630-00000-352</t>
  </si>
  <si>
    <t>General Notice</t>
  </si>
  <si>
    <t>630-00000-560</t>
  </si>
  <si>
    <t>Furniture and Fixtures</t>
  </si>
  <si>
    <t>630-00000-570</t>
  </si>
  <si>
    <t xml:space="preserve">Other Office Equipment </t>
  </si>
  <si>
    <t>Repairs and Maint. Contractual (900)</t>
  </si>
  <si>
    <t>630-00000-903</t>
  </si>
  <si>
    <t>630-00000-204</t>
  </si>
  <si>
    <t>630-00000-211</t>
  </si>
  <si>
    <t>630-00000-322</t>
  </si>
  <si>
    <t>630-00000-225</t>
  </si>
  <si>
    <t>630-00000-32700</t>
  </si>
  <si>
    <t>Inter-Government-Other</t>
  </si>
  <si>
    <t>630-00000-32022</t>
  </si>
  <si>
    <t>630-00000-36400</t>
  </si>
  <si>
    <t>101-11200-304</t>
  </si>
  <si>
    <t>Small Tools and Minor Equip</t>
  </si>
  <si>
    <t>101-11300-240</t>
  </si>
  <si>
    <t>630-00000-343</t>
  </si>
  <si>
    <t>101-14200-322</t>
  </si>
  <si>
    <t>610-00000-311</t>
  </si>
  <si>
    <t>101-14300-946</t>
  </si>
  <si>
    <t>270-00000-240</t>
  </si>
  <si>
    <t>Small Tools</t>
  </si>
  <si>
    <t>Fund 314 GO 2005A</t>
  </si>
  <si>
    <t>Fund 317 TIF GO 2007A</t>
  </si>
  <si>
    <t>Bond Proceeds</t>
  </si>
  <si>
    <t>615-00000-383</t>
  </si>
  <si>
    <t>625-00000-227</t>
  </si>
  <si>
    <t>650-00000-142</t>
  </si>
  <si>
    <t>650-00000-132</t>
  </si>
  <si>
    <t>Department</t>
  </si>
  <si>
    <t>Position</t>
  </si>
  <si>
    <t>Employee</t>
  </si>
  <si>
    <t>Utility Funds</t>
  </si>
  <si>
    <t>Deputy Clerk/Utility</t>
  </si>
  <si>
    <t>Lyn Solberg</t>
  </si>
  <si>
    <t>Water/Sewer</t>
  </si>
  <si>
    <t>John Sylling</t>
  </si>
  <si>
    <t>Public Utilities Director</t>
  </si>
  <si>
    <t xml:space="preserve">Paul Morken </t>
  </si>
  <si>
    <t>Electric Utility</t>
  </si>
  <si>
    <t>101-11200-344</t>
  </si>
  <si>
    <t>Fire Pension - State Portion</t>
  </si>
  <si>
    <t>Fire Pension - City Portion</t>
  </si>
  <si>
    <t>Minimum Support Requirement</t>
  </si>
  <si>
    <t>101-14200-303</t>
  </si>
  <si>
    <t xml:space="preserve">Actual </t>
  </si>
  <si>
    <t>270-00000-560</t>
  </si>
  <si>
    <t>650-00000-311</t>
  </si>
  <si>
    <t>620-00000-384</t>
  </si>
  <si>
    <t>615-00000-570</t>
  </si>
  <si>
    <t>Part Time Employees (Regular)</t>
  </si>
  <si>
    <t>Election</t>
  </si>
  <si>
    <t>Parks/Streets/Utility</t>
  </si>
  <si>
    <t>Transfer from 318 to 317</t>
  </si>
  <si>
    <t>Bender Fund</t>
  </si>
  <si>
    <t>490 Water Infrastructure</t>
  </si>
  <si>
    <t>480 Sewer Infrastructure</t>
  </si>
  <si>
    <t>425 Streets</t>
  </si>
  <si>
    <t>101-11100-217</t>
  </si>
  <si>
    <t xml:space="preserve">Other </t>
  </si>
  <si>
    <t>630-00000-901</t>
  </si>
  <si>
    <t xml:space="preserve">Buildings </t>
  </si>
  <si>
    <t>(final available in February)</t>
  </si>
  <si>
    <t>Estimated 2013 Taxable Tax Base</t>
  </si>
  <si>
    <t>2013 Average City Tax Rate</t>
  </si>
  <si>
    <t>Projected 2012 Average Tax Rate</t>
  </si>
  <si>
    <t>Greg Ardinger</t>
  </si>
  <si>
    <t>Public Utilities Worker</t>
  </si>
  <si>
    <t>Gary Sand</t>
  </si>
  <si>
    <t>101-12100-311</t>
  </si>
  <si>
    <t>101-13100-901</t>
  </si>
  <si>
    <t>101-14300-254</t>
  </si>
  <si>
    <t>101-14300-331</t>
  </si>
  <si>
    <t>101-14300-321</t>
  </si>
  <si>
    <t>101-14300-240</t>
  </si>
  <si>
    <t>Small Tool</t>
  </si>
  <si>
    <t>Communication/Transportation</t>
  </si>
  <si>
    <t>270-00000-226</t>
  </si>
  <si>
    <t>615-00000-384</t>
  </si>
  <si>
    <t>Capital Equipment</t>
  </si>
  <si>
    <t>Fund 315 Pool Bonds 2012</t>
  </si>
  <si>
    <t>Bond 2006A</t>
  </si>
  <si>
    <t>2013 Tax Levy</t>
  </si>
  <si>
    <t>2012 Taxable Tax Base</t>
  </si>
  <si>
    <t>2011 Taxable Tax Base</t>
  </si>
  <si>
    <t>Pay 2012 Market Value</t>
  </si>
  <si>
    <t>Estimated Pay 2013 Market Value</t>
  </si>
  <si>
    <t>Deficit Covered by Reserves</t>
  </si>
  <si>
    <t>Pay 2011 Market Value</t>
  </si>
  <si>
    <t>101-14200-901</t>
  </si>
  <si>
    <t>Emergency Mgmt</t>
  </si>
  <si>
    <t>Property Tax - Penalty &amp; Interest</t>
  </si>
  <si>
    <t>License &amp; Permits - Business</t>
  </si>
  <si>
    <t>Market VCA - Fire truck</t>
  </si>
  <si>
    <t>License &amp; Permits - Cigarette</t>
  </si>
  <si>
    <t>Other Grants</t>
  </si>
  <si>
    <t>Non-Revenue - Deposits</t>
  </si>
  <si>
    <t>101-12100-917</t>
  </si>
  <si>
    <t>101-12200-226</t>
  </si>
  <si>
    <t>Sign &amp; Sign Repair</t>
  </si>
  <si>
    <t>101-13100-225</t>
  </si>
  <si>
    <t>101-11300-918</t>
  </si>
  <si>
    <t>Rentals &amp; Leases</t>
  </si>
  <si>
    <t>101-14200-106</t>
  </si>
  <si>
    <t>Temporary Employees (Overtime)</t>
  </si>
  <si>
    <t>101-14200-580</t>
  </si>
  <si>
    <t>101-14200-520</t>
  </si>
  <si>
    <t>101-14200-570</t>
  </si>
  <si>
    <t>Office Equipment/Furniture</t>
  </si>
  <si>
    <t>610-00000-960</t>
  </si>
  <si>
    <t>610-00000-331</t>
  </si>
  <si>
    <t>610-00000-943</t>
  </si>
  <si>
    <t>Dues, Fees, Subscriptions</t>
  </si>
  <si>
    <t>610-00000-309</t>
  </si>
  <si>
    <t>EDP, Software</t>
  </si>
  <si>
    <t>615-00000-913</t>
  </si>
  <si>
    <t>615-00000-304</t>
  </si>
  <si>
    <t>615-00000-103</t>
  </si>
  <si>
    <t>615-00000-202</t>
  </si>
  <si>
    <t>Coping Supplies</t>
  </si>
  <si>
    <t>615-00000-201</t>
  </si>
  <si>
    <t>Accessories (staplers, etc)</t>
  </si>
  <si>
    <t>Unemployment Compensation (140)</t>
  </si>
  <si>
    <t>615-00000-142</t>
  </si>
  <si>
    <t>Benefit Payments</t>
  </si>
  <si>
    <t>615-00000-35600</t>
  </si>
  <si>
    <t>615-00000-36100</t>
  </si>
  <si>
    <t>Misc Revenue - Interest</t>
  </si>
  <si>
    <t>615-00000-36800</t>
  </si>
  <si>
    <t>Misc Revenue - NSF</t>
  </si>
  <si>
    <t>615-00000-37400</t>
  </si>
  <si>
    <t>Non-Revenue (Tri-County)</t>
  </si>
  <si>
    <t>625-00000-35100</t>
  </si>
  <si>
    <t>625-00000-39000</t>
  </si>
  <si>
    <t>Transfers (490)</t>
  </si>
  <si>
    <t>625-00000-490</t>
  </si>
  <si>
    <t>Transfer Out</t>
  </si>
  <si>
    <t>Unemploment Compensation (140)</t>
  </si>
  <si>
    <t>625-00000-142</t>
  </si>
  <si>
    <t>625-00000-322</t>
  </si>
  <si>
    <t>620-00000-35600</t>
  </si>
  <si>
    <t>Interest</t>
  </si>
  <si>
    <t>620-00000-142</t>
  </si>
  <si>
    <t>620-00000-902</t>
  </si>
  <si>
    <t>Transfer (490)</t>
  </si>
  <si>
    <t>620-00000-490</t>
  </si>
  <si>
    <t>Transfer out</t>
  </si>
  <si>
    <t>620-00000-240</t>
  </si>
  <si>
    <t>630-00000-36100</t>
  </si>
  <si>
    <t>630-00000-39000</t>
  </si>
  <si>
    <t>630-00000-490</t>
  </si>
  <si>
    <t>630-00000-309</t>
  </si>
  <si>
    <t>650-00000-903</t>
  </si>
  <si>
    <t>650-00000-433</t>
  </si>
  <si>
    <t>Advertising</t>
  </si>
  <si>
    <t>Advertising (433)</t>
  </si>
  <si>
    <t>650-00000-915</t>
  </si>
  <si>
    <t>650-00000-309</t>
  </si>
  <si>
    <t>EDP/Software</t>
  </si>
  <si>
    <t>650-00000-104</t>
  </si>
  <si>
    <t>Part-time Employees (Overtime)</t>
  </si>
  <si>
    <t>650-00000-257</t>
  </si>
  <si>
    <t>Ice Cream/Pop</t>
  </si>
  <si>
    <t>270-00000-904</t>
  </si>
  <si>
    <t>Machinery and Equip</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</si>
</sst>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
  </numFmts>
  <fonts count="30">
    <font>
      <sz val="10"/>
      <name val="Arial"/>
    </font>
    <font>
      <sz val="10"/>
      <name val="Arial"/>
      <family val="2"/>
    </font>
    <font>
      <sz val="8"/>
      <name val="Arial"/>
      <family val="2"/>
    </font>
    <font>
      <b/>
      <sz val="10"/>
      <name val="Arial"/>
      <family val="2"/>
    </font>
    <font>
      <sz val="10"/>
      <color indexed="10"/>
      <name val="Arial"/>
      <family val="2"/>
    </font>
    <font>
      <sz val="10"/>
      <color indexed="10"/>
      <name val="Arial"/>
      <family val="2"/>
    </font>
    <font>
      <sz val="10"/>
      <name val="Arial"/>
      <family val="2"/>
    </font>
    <font>
      <b/>
      <sz val="12"/>
      <name val="Arial"/>
      <family val="2"/>
    </font>
    <font>
      <i/>
      <sz val="10"/>
      <name val="Arial"/>
      <family val="2"/>
    </font>
    <font>
      <sz val="8"/>
      <color indexed="81"/>
      <name val="Tahoma"/>
      <family val="2"/>
    </font>
    <font>
      <sz val="8"/>
      <name val="Arial"/>
      <family val="2"/>
    </font>
    <font>
      <b/>
      <sz val="8"/>
      <color indexed="81"/>
      <name val="Tahoma"/>
      <family val="2"/>
    </font>
    <font>
      <sz val="8"/>
      <color indexed="81"/>
      <name val="Tahoma"/>
      <charset val="1"/>
    </font>
    <font>
      <b/>
      <sz val="8"/>
      <color indexed="81"/>
      <name val="Tahoma"/>
      <charset val="1"/>
    </font>
    <font>
      <sz val="10"/>
      <name val="Arial"/>
    </font>
    <font>
      <sz val="12"/>
      <name val="Arial"/>
      <family val="2"/>
    </font>
    <font>
      <sz val="11"/>
      <name val="Arial"/>
      <family val="2"/>
    </font>
    <font>
      <sz val="10"/>
      <color rgb="FFFF0000"/>
      <name val="Arial"/>
      <family val="2"/>
    </font>
    <font>
      <sz val="10"/>
      <color theme="1"/>
      <name val="Arial"/>
      <family val="2"/>
    </font>
    <font>
      <sz val="12"/>
      <color rgb="FF800080"/>
      <name val="Arial"/>
      <family val="2"/>
    </font>
    <font>
      <sz val="10"/>
      <color rgb="FF800080"/>
      <name val="Arial"/>
      <family val="2"/>
    </font>
    <font>
      <b/>
      <sz val="14"/>
      <color rgb="FF800080"/>
      <name val="Arial"/>
      <family val="2"/>
    </font>
    <font>
      <sz val="10"/>
      <color rgb="FF7030A0"/>
      <name val="Arial"/>
      <family val="2"/>
    </font>
    <font>
      <sz val="9"/>
      <color indexed="81"/>
      <name val="Tahoma"/>
      <charset val="1"/>
    </font>
    <font>
      <b/>
      <sz val="9"/>
      <color indexed="81"/>
      <name val="Tahoma"/>
      <charset val="1"/>
    </font>
    <font>
      <sz val="10"/>
      <color rgb="FF002060"/>
      <name val="Arial"/>
      <family val="2"/>
    </font>
    <font>
      <sz val="10"/>
      <color rgb="FFC00000"/>
      <name val="Arial"/>
      <family val="2"/>
    </font>
    <font>
      <sz val="9"/>
      <color indexed="81"/>
      <name val="Tahoma"/>
      <family val="2"/>
    </font>
    <font>
      <b/>
      <sz val="9"/>
      <color indexed="81"/>
      <name val="Tahoma"/>
      <family val="2"/>
    </font>
    <font>
      <sz val="10"/>
      <color theme="7" tint="-0.249977111117893"/>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5">
    <xf numFmtId="0" fontId="0" fillId="0" borderId="0" xfId="0"/>
    <xf numFmtId="164" fontId="0" fillId="0" borderId="0" xfId="1" applyNumberFormat="1" applyFont="1"/>
    <xf numFmtId="0" fontId="3" fillId="0" borderId="0" xfId="0" applyFont="1" applyAlignment="1">
      <alignment horizontal="center"/>
    </xf>
    <xf numFmtId="0" fontId="3" fillId="0" borderId="1" xfId="0" applyFont="1"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165" fontId="0" fillId="0" borderId="0" xfId="2" applyNumberFormat="1" applyFont="1"/>
    <xf numFmtId="165" fontId="4" fillId="0" borderId="0" xfId="2" applyNumberFormat="1" applyFont="1"/>
    <xf numFmtId="165" fontId="1" fillId="0" borderId="0" xfId="2" applyNumberFormat="1"/>
    <xf numFmtId="0" fontId="0" fillId="0" borderId="0" xfId="0" applyFill="1" applyBorder="1"/>
    <xf numFmtId="0" fontId="4" fillId="0" borderId="0" xfId="0" applyFont="1"/>
    <xf numFmtId="0" fontId="5" fillId="0" borderId="0" xfId="0" applyFont="1"/>
    <xf numFmtId="0" fontId="6" fillId="0" borderId="0" xfId="0" applyFont="1" applyFill="1" applyBorder="1"/>
    <xf numFmtId="0" fontId="6" fillId="0" borderId="0" xfId="0" applyFont="1"/>
    <xf numFmtId="0" fontId="7" fillId="0" borderId="0" xfId="0" applyFont="1"/>
    <xf numFmtId="0" fontId="7" fillId="0" borderId="0" xfId="0" applyFont="1" applyAlignment="1">
      <alignment horizontal="center"/>
    </xf>
    <xf numFmtId="165" fontId="0" fillId="0" borderId="4" xfId="2" applyNumberFormat="1" applyFont="1" applyBorder="1"/>
    <xf numFmtId="165" fontId="0" fillId="0" borderId="0" xfId="2" applyNumberFormat="1" applyFont="1" applyBorder="1"/>
    <xf numFmtId="0" fontId="0" fillId="0" borderId="0" xfId="0" applyAlignment="1">
      <alignment horizontal="center"/>
    </xf>
    <xf numFmtId="0" fontId="6" fillId="0" borderId="0" xfId="0" applyFont="1" applyAlignment="1">
      <alignment horizontal="center"/>
    </xf>
    <xf numFmtId="44" fontId="0" fillId="0" borderId="0" xfId="2" applyFont="1"/>
    <xf numFmtId="44" fontId="0" fillId="0" borderId="0" xfId="0" applyNumberFormat="1"/>
    <xf numFmtId="0" fontId="8" fillId="0" borderId="0" xfId="0" applyFont="1"/>
    <xf numFmtId="166" fontId="0" fillId="0" borderId="0" xfId="2" applyNumberFormat="1" applyFont="1"/>
    <xf numFmtId="165" fontId="6" fillId="0" borderId="0" xfId="2" applyNumberFormat="1" applyFont="1"/>
    <xf numFmtId="165" fontId="0" fillId="0" borderId="0" xfId="0" applyNumberFormat="1"/>
    <xf numFmtId="165" fontId="6" fillId="0" borderId="0" xfId="2" applyNumberFormat="1" applyFont="1" applyAlignment="1">
      <alignment horizontal="center"/>
    </xf>
    <xf numFmtId="167" fontId="0" fillId="0" borderId="0" xfId="3" applyNumberFormat="1" applyFont="1"/>
    <xf numFmtId="165" fontId="1" fillId="2" borderId="0" xfId="2" applyNumberFormat="1" applyFill="1"/>
    <xf numFmtId="165" fontId="1" fillId="3" borderId="0" xfId="2" applyNumberFormat="1" applyFont="1" applyFill="1"/>
    <xf numFmtId="0" fontId="10" fillId="0" borderId="0" xfId="0" applyFont="1"/>
    <xf numFmtId="165" fontId="0" fillId="0" borderId="0" xfId="2" applyNumberFormat="1" applyFont="1" applyAlignment="1">
      <alignment horizontal="right"/>
    </xf>
    <xf numFmtId="0" fontId="0" fillId="0" borderId="0" xfId="0" applyAlignment="1">
      <alignment horizontal="right"/>
    </xf>
    <xf numFmtId="0" fontId="6" fillId="0" borderId="0" xfId="0" applyFont="1" applyAlignment="1">
      <alignment horizontal="right"/>
    </xf>
    <xf numFmtId="0" fontId="2" fillId="0" borderId="0" xfId="0" applyFont="1"/>
    <xf numFmtId="0" fontId="1" fillId="0" borderId="0" xfId="0" applyFont="1"/>
    <xf numFmtId="0" fontId="17" fillId="0" borderId="0" xfId="0" applyFont="1"/>
    <xf numFmtId="0" fontId="1" fillId="0" borderId="0" xfId="0" applyFont="1" applyFill="1" applyBorder="1"/>
    <xf numFmtId="165" fontId="0" fillId="0" borderId="0" xfId="2" applyNumberFormat="1" applyFont="1" applyAlignment="1">
      <alignment horizontal="center"/>
    </xf>
    <xf numFmtId="0" fontId="1" fillId="0" borderId="0" xfId="0" applyFont="1" applyAlignment="1">
      <alignment horizontal="right"/>
    </xf>
    <xf numFmtId="165" fontId="0" fillId="0" borderId="0" xfId="0" applyNumberFormat="1" applyAlignment="1">
      <alignment horizontal="center"/>
    </xf>
    <xf numFmtId="165" fontId="1" fillId="0" borderId="0" xfId="2" applyNumberFormat="1" applyFont="1" applyAlignment="1">
      <alignment horizontal="center"/>
    </xf>
    <xf numFmtId="165" fontId="1" fillId="0" borderId="0" xfId="0" applyNumberFormat="1" applyFont="1" applyAlignment="1">
      <alignment horizontal="center"/>
    </xf>
    <xf numFmtId="0" fontId="0" fillId="0" borderId="0" xfId="0" applyFill="1"/>
    <xf numFmtId="165" fontId="1" fillId="0" borderId="4" xfId="2" applyNumberFormat="1" applyFont="1" applyFill="1" applyBorder="1"/>
    <xf numFmtId="165" fontId="0" fillId="0" borderId="4" xfId="2" applyNumberFormat="1" applyFont="1" applyFill="1" applyBorder="1"/>
    <xf numFmtId="165" fontId="14" fillId="0" borderId="4" xfId="2" applyNumberFormat="1" applyFont="1" applyFill="1" applyBorder="1"/>
    <xf numFmtId="165" fontId="1" fillId="0" borderId="0" xfId="2" applyNumberFormat="1" applyFont="1" applyFill="1" applyBorder="1"/>
    <xf numFmtId="0" fontId="0" fillId="0" borderId="7" xfId="0" applyFill="1" applyBorder="1"/>
    <xf numFmtId="167" fontId="0" fillId="0" borderId="0" xfId="3" applyNumberFormat="1" applyFont="1" applyFill="1"/>
    <xf numFmtId="165" fontId="14" fillId="0" borderId="0" xfId="2" applyNumberFormat="1" applyFont="1" applyFill="1" applyBorder="1"/>
    <xf numFmtId="165" fontId="14" fillId="0" borderId="0" xfId="2" applyNumberFormat="1" applyFont="1" applyFill="1"/>
    <xf numFmtId="165" fontId="0" fillId="0" borderId="0" xfId="2" applyNumberFormat="1" applyFont="1" applyFill="1"/>
    <xf numFmtId="0" fontId="6" fillId="0" borderId="0" xfId="0" applyFont="1" applyFill="1"/>
    <xf numFmtId="165" fontId="1" fillId="0" borderId="0" xfId="2" applyNumberFormat="1" applyFont="1" applyFill="1"/>
    <xf numFmtId="165" fontId="6" fillId="0" borderId="0" xfId="2" applyNumberFormat="1" applyFont="1" applyFill="1"/>
    <xf numFmtId="165" fontId="0" fillId="0" borderId="0" xfId="0" applyNumberFormat="1" applyFill="1"/>
    <xf numFmtId="165" fontId="5" fillId="0" borderId="0" xfId="2" applyNumberFormat="1" applyFont="1" applyFill="1"/>
    <xf numFmtId="0" fontId="5" fillId="0" borderId="0" xfId="0" applyFont="1" applyFill="1"/>
    <xf numFmtId="165" fontId="6" fillId="0" borderId="0" xfId="0" applyNumberFormat="1" applyFont="1" applyFill="1"/>
    <xf numFmtId="0" fontId="3" fillId="0" borderId="0" xfId="0" applyFont="1" applyFill="1" applyAlignment="1">
      <alignment horizontal="center"/>
    </xf>
    <xf numFmtId="165" fontId="6" fillId="0" borderId="0" xfId="2" applyNumberFormat="1" applyFont="1" applyFill="1" applyAlignment="1">
      <alignment horizontal="center"/>
    </xf>
    <xf numFmtId="165" fontId="17" fillId="0" borderId="0" xfId="2" applyNumberFormat="1" applyFont="1" applyFill="1"/>
    <xf numFmtId="0" fontId="6" fillId="0" borderId="0" xfId="0" applyFont="1" applyFill="1" applyAlignment="1">
      <alignment horizontal="center"/>
    </xf>
    <xf numFmtId="165" fontId="4" fillId="0" borderId="0" xfId="2" applyNumberFormat="1" applyFont="1" applyFill="1"/>
    <xf numFmtId="165" fontId="1" fillId="0" borderId="0" xfId="2" applyNumberFormat="1" applyFill="1"/>
    <xf numFmtId="165" fontId="18" fillId="0" borderId="0" xfId="2" applyNumberFormat="1" applyFont="1" applyFill="1"/>
    <xf numFmtId="0" fontId="1" fillId="0" borderId="0" xfId="0" applyFont="1" applyFill="1"/>
    <xf numFmtId="0" fontId="1" fillId="0" borderId="0" xfId="0" applyFont="1" applyAlignment="1">
      <alignment horizontal="center"/>
    </xf>
    <xf numFmtId="165" fontId="1" fillId="0" borderId="0" xfId="2" applyNumberFormat="1" applyFont="1" applyFill="1" applyAlignment="1">
      <alignment horizontal="center"/>
    </xf>
    <xf numFmtId="0" fontId="15" fillId="0" borderId="0" xfId="0" applyFont="1"/>
    <xf numFmtId="9" fontId="0" fillId="0" borderId="0" xfId="0" applyNumberFormat="1"/>
    <xf numFmtId="167" fontId="1" fillId="0" borderId="0" xfId="3" applyNumberFormat="1" applyFont="1" applyFill="1"/>
    <xf numFmtId="14" fontId="3" fillId="0" borderId="0" xfId="0" applyNumberFormat="1" applyFont="1" applyFill="1"/>
    <xf numFmtId="165" fontId="19" fillId="0" borderId="4" xfId="2" applyNumberFormat="1" applyFont="1" applyFill="1" applyBorder="1"/>
    <xf numFmtId="0" fontId="19" fillId="0" borderId="0" xfId="0" applyFont="1" applyBorder="1"/>
    <xf numFmtId="0" fontId="20" fillId="0" borderId="0" xfId="0" applyFont="1" applyBorder="1"/>
    <xf numFmtId="165" fontId="21" fillId="0" borderId="0" xfId="2" applyNumberFormat="1" applyFont="1" applyFill="1"/>
    <xf numFmtId="0" fontId="21" fillId="0" borderId="0" xfId="0" applyFont="1"/>
    <xf numFmtId="0" fontId="20" fillId="0" borderId="0" xfId="0" applyFont="1"/>
    <xf numFmtId="165" fontId="22" fillId="0" borderId="0" xfId="2" applyNumberFormat="1" applyFont="1"/>
    <xf numFmtId="165" fontId="22" fillId="0" borderId="0" xfId="2" applyNumberFormat="1" applyFont="1" applyFill="1"/>
    <xf numFmtId="165" fontId="22" fillId="2" borderId="0" xfId="2" applyNumberFormat="1" applyFont="1" applyFill="1"/>
    <xf numFmtId="0" fontId="16" fillId="0" borderId="0" xfId="0" applyFont="1" applyAlignment="1">
      <alignment horizontal="center"/>
    </xf>
    <xf numFmtId="0" fontId="1" fillId="0" borderId="4" xfId="0" applyFont="1" applyFill="1" applyBorder="1"/>
    <xf numFmtId="0" fontId="1" fillId="0" borderId="0" xfId="0" applyFont="1" applyBorder="1"/>
    <xf numFmtId="43" fontId="1" fillId="0" borderId="0" xfId="0" applyNumberFormat="1" applyFont="1" applyBorder="1"/>
    <xf numFmtId="0" fontId="1" fillId="0" borderId="5" xfId="0" applyFont="1" applyBorder="1"/>
    <xf numFmtId="0" fontId="22" fillId="0" borderId="0" xfId="0" applyFont="1"/>
    <xf numFmtId="0" fontId="0" fillId="0" borderId="0" xfId="0" applyFont="1" applyFill="1" applyBorder="1"/>
    <xf numFmtId="165" fontId="5" fillId="0" borderId="0" xfId="2" applyNumberFormat="1" applyFont="1"/>
    <xf numFmtId="0" fontId="3" fillId="0" borderId="0" xfId="0" applyFont="1"/>
    <xf numFmtId="0" fontId="25" fillId="0" borderId="0" xfId="0" applyFont="1"/>
    <xf numFmtId="165" fontId="25" fillId="0" borderId="0" xfId="2" applyNumberFormat="1" applyFont="1"/>
    <xf numFmtId="167" fontId="25" fillId="0" borderId="0" xfId="3" applyNumberFormat="1" applyFont="1" applyFill="1"/>
    <xf numFmtId="9" fontId="26" fillId="0" borderId="0" xfId="0" applyNumberFormat="1" applyFont="1"/>
    <xf numFmtId="0" fontId="26" fillId="0" borderId="0" xfId="0" applyFont="1"/>
    <xf numFmtId="9" fontId="26" fillId="0" borderId="0" xfId="3" applyFont="1"/>
    <xf numFmtId="165" fontId="29" fillId="0" borderId="0" xfId="2" applyNumberFormat="1" applyFont="1" applyFill="1"/>
    <xf numFmtId="165" fontId="25" fillId="0" borderId="0" xfId="2" applyNumberFormat="1" applyFont="1" applyFill="1"/>
    <xf numFmtId="164" fontId="17" fillId="0" borderId="4" xfId="0" applyNumberFormat="1" applyFont="1" applyFill="1" applyBorder="1"/>
    <xf numFmtId="0" fontId="17" fillId="0" borderId="0" xfId="0" applyFont="1" applyBorder="1"/>
    <xf numFmtId="165" fontId="14" fillId="3" borderId="0" xfId="2" applyNumberFormat="1" applyFont="1" applyFill="1" applyBorder="1"/>
    <xf numFmtId="0" fontId="15" fillId="0" borderId="0" xfId="0" applyFont="1" applyAlignment="1">
      <alignment horizontal="center"/>
    </xf>
    <xf numFmtId="14" fontId="1" fillId="0" borderId="0" xfId="0" applyNumberFormat="1" applyFont="1" applyAlignment="1">
      <alignment horizontal="center"/>
    </xf>
    <xf numFmtId="44" fontId="1" fillId="0" borderId="0" xfId="2" applyFont="1" applyFill="1"/>
    <xf numFmtId="44" fontId="0" fillId="0" borderId="0" xfId="2" applyFont="1" applyAlignment="1">
      <alignment horizontal="center"/>
    </xf>
    <xf numFmtId="165" fontId="1" fillId="0" borderId="0" xfId="2" applyNumberFormat="1" applyFont="1"/>
    <xf numFmtId="165" fontId="1" fillId="2" borderId="0" xfId="2" applyNumberFormat="1" applyFont="1" applyFill="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39"/>
  <sheetViews>
    <sheetView zoomScaleNormal="100" workbookViewId="0">
      <selection activeCell="P21" sqref="P21"/>
    </sheetView>
  </sheetViews>
  <sheetFormatPr defaultRowHeight="12.75"/>
  <cols>
    <col min="1" max="1" width="12.7109375" customWidth="1"/>
    <col min="4" max="4" width="7" customWidth="1"/>
    <col min="5" max="5" width="12.7109375" customWidth="1"/>
    <col min="8" max="8" width="9.140625" hidden="1" customWidth="1"/>
    <col min="10" max="10" width="2.140625" customWidth="1"/>
    <col min="11" max="11" width="14.7109375" customWidth="1"/>
    <col min="12" max="13" width="9.140625" customWidth="1"/>
  </cols>
  <sheetData>
    <row r="1" spans="1:15" ht="15.75">
      <c r="A1" s="20" t="s">
        <v>264</v>
      </c>
      <c r="D1" s="20">
        <v>2013</v>
      </c>
      <c r="F1" s="20" t="s">
        <v>660</v>
      </c>
    </row>
    <row r="3" spans="1:15" ht="18">
      <c r="A3" s="3" t="s">
        <v>265</v>
      </c>
      <c r="B3" s="4"/>
      <c r="C3" s="4"/>
      <c r="D3" s="4"/>
      <c r="E3" s="4"/>
      <c r="F3" s="4"/>
      <c r="G3" s="4"/>
      <c r="H3" s="4"/>
      <c r="I3" s="5"/>
      <c r="K3" s="83">
        <f>(A5+A29)</f>
        <v>500000</v>
      </c>
      <c r="L3" s="84" t="s">
        <v>954</v>
      </c>
      <c r="M3" s="85"/>
      <c r="N3" s="85"/>
    </row>
    <row r="4" spans="1:15">
      <c r="A4" s="6" t="s">
        <v>106</v>
      </c>
      <c r="B4" s="7"/>
      <c r="C4" s="7"/>
      <c r="D4" s="7"/>
      <c r="E4" s="7" t="s">
        <v>108</v>
      </c>
      <c r="F4" s="7"/>
      <c r="G4" s="7"/>
      <c r="H4" s="7"/>
      <c r="I4" s="8"/>
      <c r="K4" s="58">
        <v>495104</v>
      </c>
      <c r="L4" s="41" t="s">
        <v>935</v>
      </c>
    </row>
    <row r="5" spans="1:15" ht="15">
      <c r="A5" s="80">
        <v>376525</v>
      </c>
      <c r="B5" s="81" t="s">
        <v>82</v>
      </c>
      <c r="C5" s="82"/>
      <c r="D5" s="7"/>
      <c r="E5" s="56"/>
      <c r="F5" s="7"/>
      <c r="G5" s="7"/>
      <c r="H5" s="7"/>
      <c r="I5" s="8"/>
      <c r="K5" s="58"/>
      <c r="M5" t="s">
        <v>934</v>
      </c>
    </row>
    <row r="6" spans="1:15" ht="15">
      <c r="A6" s="80"/>
      <c r="B6" s="81"/>
      <c r="C6" s="82"/>
      <c r="D6" s="7"/>
      <c r="E6" s="56">
        <f>SUM(Council!D32)</f>
        <v>36277.710000000006</v>
      </c>
      <c r="F6" s="7" t="s">
        <v>84</v>
      </c>
      <c r="G6" s="7"/>
      <c r="H6" s="7"/>
      <c r="I6" s="8"/>
      <c r="K6" s="78">
        <f>K3/K4</f>
        <v>1.0098888314374355</v>
      </c>
      <c r="L6" t="s">
        <v>936</v>
      </c>
    </row>
    <row r="7" spans="1:15">
      <c r="A7" s="15"/>
      <c r="B7" s="7"/>
      <c r="C7" s="7"/>
      <c r="D7" s="7"/>
      <c r="E7" s="56">
        <f>SUM(Administration!D81)</f>
        <v>141387.08529999998</v>
      </c>
      <c r="F7" s="7" t="s">
        <v>126</v>
      </c>
      <c r="G7" s="7"/>
      <c r="H7" s="7"/>
      <c r="I7" s="8"/>
      <c r="K7" s="55">
        <f>498778/K10</f>
        <v>1.0074206631334022</v>
      </c>
      <c r="L7" s="41" t="s">
        <v>937</v>
      </c>
    </row>
    <row r="8" spans="1:15">
      <c r="A8" s="22">
        <f>SUM('General Fund Revenues'!D4:D8)</f>
        <v>379112</v>
      </c>
      <c r="B8" s="7" t="s">
        <v>825</v>
      </c>
      <c r="C8" s="7"/>
      <c r="D8" s="7"/>
      <c r="E8" s="56">
        <f>SUM(Police!D72)</f>
        <v>167016.93203199998</v>
      </c>
      <c r="F8" s="7" t="s">
        <v>65</v>
      </c>
      <c r="G8" s="7"/>
      <c r="H8" s="7"/>
      <c r="I8" s="8"/>
      <c r="K8" s="12"/>
    </row>
    <row r="9" spans="1:15">
      <c r="A9" s="58">
        <f>SUM('General Fund Revenues'!D11:D15)</f>
        <v>3250</v>
      </c>
      <c r="B9" s="15" t="s">
        <v>826</v>
      </c>
      <c r="D9" s="7"/>
      <c r="E9" s="56">
        <f>SUM(Fire!D75)</f>
        <v>88432.13</v>
      </c>
      <c r="F9" s="7" t="s">
        <v>66</v>
      </c>
      <c r="G9" s="7"/>
      <c r="H9" s="7"/>
      <c r="I9" s="8"/>
      <c r="K9" s="105">
        <v>495104</v>
      </c>
      <c r="L9" s="98" t="s">
        <v>935</v>
      </c>
      <c r="M9" s="98"/>
      <c r="N9" s="98"/>
    </row>
    <row r="10" spans="1:15">
      <c r="A10" s="22">
        <v>9500</v>
      </c>
      <c r="B10" s="15" t="s">
        <v>827</v>
      </c>
      <c r="C10" s="7"/>
      <c r="D10" s="7"/>
      <c r="E10" s="56">
        <v>7980</v>
      </c>
      <c r="F10" s="7" t="s">
        <v>67</v>
      </c>
      <c r="G10" s="7"/>
      <c r="H10" s="7"/>
      <c r="I10" s="8"/>
      <c r="K10" s="99">
        <v>495104</v>
      </c>
      <c r="L10" s="98" t="s">
        <v>955</v>
      </c>
      <c r="M10" s="98"/>
      <c r="N10" s="98"/>
    </row>
    <row r="11" spans="1:15">
      <c r="A11" s="58">
        <f>SUM('General Fund Revenues'!D17:D21)</f>
        <v>13000</v>
      </c>
      <c r="B11" s="15" t="s">
        <v>828</v>
      </c>
      <c r="C11" s="7"/>
      <c r="D11" s="7"/>
      <c r="E11" s="56">
        <f>SUM(Streets!D77)+Streets!D79</f>
        <v>220772.14515999999</v>
      </c>
      <c r="F11" s="7" t="s">
        <v>68</v>
      </c>
      <c r="G11" s="7"/>
      <c r="H11" s="7"/>
      <c r="I11" s="8"/>
      <c r="K11" s="99">
        <v>623446</v>
      </c>
      <c r="L11" s="98" t="s">
        <v>956</v>
      </c>
      <c r="M11" s="98"/>
      <c r="N11" s="98"/>
    </row>
    <row r="12" spans="1:15">
      <c r="A12" s="22">
        <f>SUM('General Fund Revenues'!D23:D29)</f>
        <v>79250</v>
      </c>
      <c r="B12" s="15" t="s">
        <v>829</v>
      </c>
      <c r="C12" s="7"/>
      <c r="D12" s="7"/>
      <c r="E12" s="56">
        <f>SUM(Parks!D70)</f>
        <v>50609.72</v>
      </c>
      <c r="F12" s="7" t="s">
        <v>69</v>
      </c>
      <c r="G12" s="7"/>
      <c r="H12" s="7"/>
      <c r="I12" s="8"/>
      <c r="K12" s="100"/>
      <c r="L12" s="98"/>
      <c r="M12" s="98"/>
      <c r="N12" s="98"/>
    </row>
    <row r="13" spans="1:15">
      <c r="A13" s="22">
        <f>SUM('General Fund Revenues'!D32)+'General Fund Revenues'!D34</f>
        <v>18600</v>
      </c>
      <c r="B13" s="15" t="s">
        <v>795</v>
      </c>
      <c r="C13" s="7"/>
      <c r="D13" s="7"/>
      <c r="E13" s="56">
        <f>SUM('SWIM Center'!D73)</f>
        <v>137097.74</v>
      </c>
      <c r="F13" s="7" t="s">
        <v>70</v>
      </c>
      <c r="G13" s="7"/>
      <c r="H13" s="7"/>
      <c r="I13" s="8"/>
    </row>
    <row r="14" spans="1:15">
      <c r="A14" s="22">
        <f>SUM('General Fund Revenues'!D40:D41)+'General Fund Revenues'!D37</f>
        <v>17813</v>
      </c>
      <c r="B14" s="15" t="s">
        <v>830</v>
      </c>
      <c r="C14" s="7"/>
      <c r="D14" s="7"/>
      <c r="E14" s="56">
        <f>SUM('Summer Recreation'!D40)</f>
        <v>17022.07</v>
      </c>
      <c r="F14" s="7" t="s">
        <v>85</v>
      </c>
      <c r="G14" s="7"/>
      <c r="H14" s="7"/>
      <c r="I14" s="8"/>
      <c r="K14" s="101"/>
      <c r="L14" s="102"/>
      <c r="M14" s="102"/>
      <c r="N14" s="102"/>
      <c r="O14" s="102"/>
    </row>
    <row r="15" spans="1:15">
      <c r="A15" s="22">
        <f>SUM('General Fund Revenues'!D30:D31)+'General Fund Revenues'!D33+'General Fund Revenues'!D38</f>
        <v>17500</v>
      </c>
      <c r="B15" s="15" t="s">
        <v>804</v>
      </c>
      <c r="C15" s="7"/>
      <c r="D15" s="7"/>
      <c r="E15" s="56">
        <f>SUM(Library!D4)</f>
        <v>103319</v>
      </c>
      <c r="F15" s="7" t="s">
        <v>86</v>
      </c>
      <c r="G15" s="7"/>
      <c r="H15" s="7"/>
      <c r="I15" s="8"/>
      <c r="K15" s="103"/>
      <c r="L15" s="102"/>
      <c r="M15" s="102"/>
      <c r="N15" s="102"/>
      <c r="O15" s="102"/>
    </row>
    <row r="16" spans="1:15">
      <c r="A16" s="22">
        <f>SUM('General Fund Revenues'!D43:D44)</f>
        <v>130000</v>
      </c>
      <c r="B16" s="15" t="s">
        <v>831</v>
      </c>
      <c r="C16" s="7"/>
      <c r="D16" s="7"/>
      <c r="E16" s="56"/>
      <c r="F16" s="15" t="s">
        <v>923</v>
      </c>
      <c r="G16" s="7"/>
      <c r="H16" s="7"/>
      <c r="I16" s="8"/>
      <c r="K16" s="101"/>
      <c r="L16" s="102"/>
      <c r="M16" s="102"/>
      <c r="N16" s="102"/>
      <c r="O16" s="102"/>
    </row>
    <row r="17" spans="1:15">
      <c r="A17" s="22"/>
      <c r="B17" s="7"/>
      <c r="C17" s="7"/>
      <c r="D17" s="7"/>
      <c r="E17" s="56">
        <f>SUM('Special Revenue Funds-Fest Bldg'!D6)</f>
        <v>33535.820000000007</v>
      </c>
      <c r="F17" s="15" t="s">
        <v>630</v>
      </c>
      <c r="G17" s="7"/>
      <c r="H17" s="7"/>
      <c r="I17" s="8"/>
      <c r="L17" s="41"/>
      <c r="M17" s="41"/>
      <c r="N17" s="41"/>
      <c r="O17" s="41"/>
    </row>
    <row r="18" spans="1:15">
      <c r="A18" s="22">
        <f>SUM(A8:A17)</f>
        <v>668025</v>
      </c>
      <c r="B18" s="15" t="s">
        <v>832</v>
      </c>
      <c r="C18" s="7"/>
      <c r="D18" s="7"/>
      <c r="E18" s="23">
        <v>27000</v>
      </c>
      <c r="F18" s="18" t="s">
        <v>650</v>
      </c>
      <c r="G18" s="7"/>
      <c r="H18" s="7"/>
      <c r="I18" s="8"/>
      <c r="K18" s="12">
        <v>0</v>
      </c>
      <c r="L18" s="41" t="s">
        <v>958</v>
      </c>
    </row>
    <row r="19" spans="1:15">
      <c r="A19" s="22"/>
      <c r="B19" s="7"/>
      <c r="C19" s="7"/>
      <c r="D19" s="7"/>
      <c r="E19" s="23"/>
      <c r="F19" s="43" t="s">
        <v>962</v>
      </c>
      <c r="G19" s="7"/>
      <c r="H19" s="7"/>
      <c r="I19" s="8"/>
      <c r="K19" s="12">
        <v>44441124</v>
      </c>
      <c r="L19" s="41" t="s">
        <v>957</v>
      </c>
    </row>
    <row r="20" spans="1:15">
      <c r="A20" s="22"/>
      <c r="B20" s="7"/>
      <c r="C20" s="7"/>
      <c r="D20" s="7"/>
      <c r="E20" s="23">
        <f>SUM('Animal Control'!E9)</f>
        <v>2500</v>
      </c>
      <c r="F20" s="18" t="s">
        <v>81</v>
      </c>
      <c r="G20" s="7"/>
      <c r="H20" s="7"/>
      <c r="I20" s="8"/>
      <c r="K20" s="12">
        <v>55591400</v>
      </c>
      <c r="L20" s="41" t="s">
        <v>960</v>
      </c>
    </row>
    <row r="21" spans="1:15">
      <c r="A21" s="51"/>
      <c r="B21" s="7"/>
      <c r="C21" s="7"/>
      <c r="D21" s="7"/>
      <c r="E21" s="56">
        <f>SUM('Old Pool'!E12)</f>
        <v>236.46</v>
      </c>
      <c r="F21" s="18" t="s">
        <v>799</v>
      </c>
      <c r="G21" s="7"/>
      <c r="H21" s="7"/>
      <c r="I21" s="8"/>
      <c r="K21" s="33"/>
    </row>
    <row r="22" spans="1:15">
      <c r="A22" s="52"/>
      <c r="B22" s="7"/>
      <c r="C22" s="7"/>
      <c r="D22" s="7"/>
      <c r="E22" s="56">
        <v>11360</v>
      </c>
      <c r="F22" s="43" t="s">
        <v>267</v>
      </c>
      <c r="G22" s="7"/>
      <c r="H22" s="7"/>
      <c r="I22" s="8"/>
      <c r="K22" s="12"/>
    </row>
    <row r="23" spans="1:15" s="41" customFormat="1">
      <c r="A23" s="90"/>
      <c r="B23" s="91"/>
      <c r="C23" s="91"/>
      <c r="D23" s="92"/>
      <c r="E23" s="73"/>
      <c r="G23" s="91"/>
      <c r="H23" s="91"/>
      <c r="I23" s="93"/>
      <c r="K23" s="60"/>
    </row>
    <row r="24" spans="1:15">
      <c r="A24" s="50">
        <f>SUM(A5:A17)</f>
        <v>1044550</v>
      </c>
      <c r="B24" s="7" t="s">
        <v>83</v>
      </c>
      <c r="C24" s="7"/>
      <c r="D24" s="7"/>
      <c r="E24" s="53">
        <f>SUM(E5:E22)</f>
        <v>1044546.8124919999</v>
      </c>
      <c r="F24" s="7" t="s">
        <v>87</v>
      </c>
      <c r="G24" s="7"/>
      <c r="H24" s="7"/>
      <c r="I24" s="8"/>
      <c r="K24" s="57"/>
    </row>
    <row r="25" spans="1:15">
      <c r="A25" s="6"/>
      <c r="B25" s="7"/>
      <c r="C25" s="7"/>
      <c r="D25" s="7"/>
      <c r="E25" s="53"/>
      <c r="F25" s="7"/>
      <c r="G25" s="7"/>
      <c r="H25" s="7"/>
      <c r="I25" s="8"/>
      <c r="K25" s="58"/>
    </row>
    <row r="26" spans="1:15">
      <c r="A26" s="106">
        <f>SUM(A24)-E24</f>
        <v>3.1875080000609159</v>
      </c>
      <c r="B26" s="107" t="s">
        <v>959</v>
      </c>
      <c r="C26" s="10"/>
      <c r="D26" s="10"/>
      <c r="E26" s="54"/>
      <c r="F26" s="10"/>
      <c r="G26" s="10"/>
      <c r="H26" s="10"/>
      <c r="I26" s="11"/>
      <c r="K26" s="78"/>
    </row>
    <row r="27" spans="1:15">
      <c r="A27" s="3" t="s">
        <v>71</v>
      </c>
      <c r="B27" s="4"/>
      <c r="C27" s="4"/>
      <c r="D27" s="4"/>
      <c r="E27" s="4"/>
      <c r="F27" s="4"/>
      <c r="G27" s="4"/>
      <c r="H27" s="4"/>
      <c r="I27" s="5"/>
      <c r="K27" s="33"/>
      <c r="L27" s="41"/>
    </row>
    <row r="28" spans="1:15">
      <c r="A28" s="6" t="s">
        <v>106</v>
      </c>
      <c r="B28" s="7"/>
      <c r="C28" s="7"/>
      <c r="D28" s="7"/>
      <c r="E28" s="7" t="s">
        <v>108</v>
      </c>
      <c r="F28" s="7"/>
      <c r="G28" s="7"/>
      <c r="H28" s="7"/>
      <c r="I28" s="8"/>
      <c r="K28" s="12"/>
    </row>
    <row r="29" spans="1:15" ht="15">
      <c r="A29" s="80">
        <f>SUM('Pool Bonds 2012'!D16)+'TIF GO 2007A'!D16+'GO 2005A'!D16</f>
        <v>123475</v>
      </c>
      <c r="B29" s="81" t="s">
        <v>82</v>
      </c>
      <c r="C29" s="7"/>
      <c r="D29" s="7"/>
      <c r="E29" s="23">
        <f>'GO 2005A'!D7+'Pool Bonds 2012'!D7+'TIF GO 2007A'!D7</f>
        <v>120000</v>
      </c>
      <c r="F29" s="7" t="s">
        <v>255</v>
      </c>
      <c r="G29" s="7"/>
      <c r="H29" s="7"/>
      <c r="I29" s="8"/>
      <c r="K29" s="60"/>
    </row>
    <row r="30" spans="1:15">
      <c r="A30" s="22">
        <f>'GO 2005A'!D17+'TIF GO 2007A'!D18</f>
        <v>15192.54</v>
      </c>
      <c r="B30" s="7" t="s">
        <v>261</v>
      </c>
      <c r="C30" s="7"/>
      <c r="D30" s="7"/>
      <c r="E30" s="23">
        <f>'GO 2005A'!D8+'Pool Bonds 2012'!D8+'TIF GO 2007A'!D8</f>
        <v>64133</v>
      </c>
      <c r="F30" s="7" t="s">
        <v>256</v>
      </c>
      <c r="G30" s="7"/>
      <c r="H30" s="7"/>
      <c r="I30" s="8"/>
      <c r="K30" s="49"/>
    </row>
    <row r="31" spans="1:15">
      <c r="A31" s="22">
        <f>SUM('TIF GO 2007A'!D20)</f>
        <v>19214</v>
      </c>
      <c r="B31" s="7" t="s">
        <v>262</v>
      </c>
      <c r="C31" s="7"/>
      <c r="D31" s="7"/>
      <c r="E31" s="23">
        <f>'Pool Bonds 2012'!D9</f>
        <v>0</v>
      </c>
      <c r="F31" s="7" t="s">
        <v>257</v>
      </c>
      <c r="G31" s="7"/>
      <c r="H31" s="7"/>
      <c r="I31" s="8"/>
      <c r="K31" s="49"/>
    </row>
    <row r="32" spans="1:15">
      <c r="A32" s="22">
        <f>'Pool Bonds 2012'!D18</f>
        <v>11878</v>
      </c>
      <c r="B32" s="7" t="s">
        <v>263</v>
      </c>
      <c r="C32" s="7"/>
      <c r="D32" s="7"/>
      <c r="E32" s="23">
        <f>'Pool Bonds 2012'!D10</f>
        <v>0</v>
      </c>
      <c r="F32" s="7" t="s">
        <v>266</v>
      </c>
      <c r="G32" s="7"/>
      <c r="H32" s="7"/>
      <c r="I32" s="8"/>
      <c r="K32" s="73"/>
      <c r="L32" s="49"/>
      <c r="M32" s="49"/>
    </row>
    <row r="33" spans="1:13">
      <c r="A33" s="22">
        <f>SUM('TIF GO 2007A'!D17)</f>
        <v>14838</v>
      </c>
      <c r="B33" s="95" t="s">
        <v>926</v>
      </c>
      <c r="C33" s="7"/>
      <c r="D33" s="7"/>
      <c r="E33" s="23">
        <f>'Pool Bonds 2012'!D11+'GO 2005A'!D11+'TIF GO 2007A'!D11</f>
        <v>465</v>
      </c>
      <c r="F33" s="7" t="s">
        <v>125</v>
      </c>
      <c r="G33" s="7"/>
      <c r="H33" s="7"/>
      <c r="I33" s="8"/>
      <c r="L33" s="49"/>
      <c r="M33" s="49"/>
    </row>
    <row r="34" spans="1:13">
      <c r="A34" s="22"/>
      <c r="B34" s="7"/>
      <c r="C34" s="7"/>
      <c r="D34" s="7"/>
      <c r="E34" s="23"/>
      <c r="F34" s="7"/>
      <c r="G34" s="7"/>
      <c r="H34" s="7"/>
      <c r="I34" s="8"/>
      <c r="L34" s="49"/>
      <c r="M34" s="49"/>
    </row>
    <row r="35" spans="1:13">
      <c r="A35" s="22">
        <f>SUM(A29:A34)</f>
        <v>184597.54</v>
      </c>
      <c r="B35" s="7"/>
      <c r="C35" s="7"/>
      <c r="D35" s="7"/>
      <c r="E35" s="23">
        <f>SUM(E29:E34)</f>
        <v>184598</v>
      </c>
      <c r="F35" s="7" t="s">
        <v>77</v>
      </c>
      <c r="G35" s="7"/>
      <c r="H35" s="7"/>
      <c r="I35" s="8"/>
      <c r="L35" s="12"/>
      <c r="M35" s="57"/>
    </row>
    <row r="36" spans="1:13">
      <c r="A36" s="9"/>
      <c r="B36" s="10"/>
      <c r="C36" s="10"/>
      <c r="D36" s="10"/>
      <c r="E36" s="10"/>
      <c r="F36" s="10"/>
      <c r="G36" s="10"/>
      <c r="H36" s="10"/>
      <c r="I36" s="11"/>
      <c r="L36" s="12"/>
      <c r="M36" s="57"/>
    </row>
    <row r="37" spans="1:13">
      <c r="A37" s="49"/>
    </row>
    <row r="38" spans="1:13">
      <c r="A38" s="79">
        <v>41234</v>
      </c>
    </row>
    <row r="39" spans="1:13">
      <c r="A39" s="49"/>
    </row>
  </sheetData>
  <phoneticPr fontId="2" type="noConversion"/>
  <pageMargins left="0.25" right="0.25" top="0.75" bottom="0.75" header="0.3" footer="0.3"/>
  <pageSetup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dimension ref="A1:K74"/>
  <sheetViews>
    <sheetView topLeftCell="A46" workbookViewId="0">
      <selection activeCell="J3" sqref="J3"/>
    </sheetView>
  </sheetViews>
  <sheetFormatPr defaultRowHeight="12.75"/>
  <cols>
    <col min="1" max="1" width="18.42578125" customWidth="1"/>
    <col min="2" max="2" width="27.5703125" customWidth="1"/>
    <col min="3" max="3" width="5.7109375" customWidth="1"/>
    <col min="4" max="4" width="11.7109375" customWidth="1"/>
    <col min="5" max="10" width="10.7109375" customWidth="1"/>
  </cols>
  <sheetData>
    <row r="1" spans="1:11" ht="15.75">
      <c r="B1" s="20" t="s">
        <v>806</v>
      </c>
      <c r="D1" s="21">
        <v>2013</v>
      </c>
      <c r="E1" s="74">
        <v>2012</v>
      </c>
      <c r="F1" s="74">
        <v>2011</v>
      </c>
      <c r="G1" s="24">
        <v>2010</v>
      </c>
      <c r="H1" s="74">
        <v>2009</v>
      </c>
      <c r="I1" s="24">
        <v>2008</v>
      </c>
      <c r="J1" s="24">
        <v>2007</v>
      </c>
    </row>
    <row r="2" spans="1:11">
      <c r="A2" t="s">
        <v>108</v>
      </c>
      <c r="D2" s="24" t="s">
        <v>676</v>
      </c>
      <c r="E2" s="74" t="s">
        <v>677</v>
      </c>
      <c r="F2" s="74" t="s">
        <v>677</v>
      </c>
      <c r="G2" s="74" t="s">
        <v>677</v>
      </c>
      <c r="H2" s="74" t="s">
        <v>677</v>
      </c>
      <c r="I2" s="25" t="s">
        <v>677</v>
      </c>
      <c r="J2" s="24" t="s">
        <v>677</v>
      </c>
    </row>
    <row r="3" spans="1:11">
      <c r="A3" t="s">
        <v>253</v>
      </c>
      <c r="H3" s="1"/>
      <c r="J3" s="12"/>
      <c r="K3" s="12"/>
    </row>
    <row r="4" spans="1:11">
      <c r="A4" t="s">
        <v>425</v>
      </c>
      <c r="B4" t="s">
        <v>62</v>
      </c>
      <c r="D4" s="12">
        <v>0</v>
      </c>
      <c r="E4" s="12">
        <v>49000.6</v>
      </c>
      <c r="F4" s="12">
        <v>48343</v>
      </c>
      <c r="G4" s="12">
        <v>42350</v>
      </c>
      <c r="H4" s="12">
        <v>47334</v>
      </c>
      <c r="I4" s="12">
        <f>83+28+56778</f>
        <v>56889</v>
      </c>
      <c r="J4" s="12">
        <v>63485</v>
      </c>
      <c r="K4" s="12"/>
    </row>
    <row r="5" spans="1:11">
      <c r="A5" t="s">
        <v>975</v>
      </c>
      <c r="B5" t="s">
        <v>976</v>
      </c>
      <c r="D5" s="12">
        <v>0</v>
      </c>
      <c r="E5" s="12">
        <v>172.7</v>
      </c>
      <c r="F5" s="12">
        <v>0</v>
      </c>
      <c r="G5" s="12">
        <v>0</v>
      </c>
      <c r="H5" s="12">
        <v>0</v>
      </c>
      <c r="I5" s="12">
        <v>0</v>
      </c>
      <c r="J5" s="12">
        <v>0</v>
      </c>
      <c r="K5" s="12"/>
    </row>
    <row r="6" spans="1:11">
      <c r="A6" t="s">
        <v>249</v>
      </c>
      <c r="D6" s="12"/>
      <c r="E6" s="12"/>
      <c r="F6" s="12"/>
      <c r="G6" s="12"/>
      <c r="H6" s="12"/>
      <c r="I6" s="12"/>
      <c r="J6" s="12"/>
      <c r="K6" s="12"/>
    </row>
    <row r="7" spans="1:11">
      <c r="A7" t="s">
        <v>426</v>
      </c>
      <c r="B7" t="s">
        <v>111</v>
      </c>
      <c r="D7" s="12">
        <f>0.062*D4</f>
        <v>0</v>
      </c>
      <c r="E7" s="12">
        <v>3048.71</v>
      </c>
      <c r="F7" s="12">
        <f>0.062*F4</f>
        <v>2997.2660000000001</v>
      </c>
      <c r="G7" s="12">
        <v>2626</v>
      </c>
      <c r="H7" s="12">
        <v>2935</v>
      </c>
      <c r="I7" s="12">
        <v>3525</v>
      </c>
      <c r="J7" s="12">
        <v>4887</v>
      </c>
      <c r="K7" s="12"/>
    </row>
    <row r="8" spans="1:11">
      <c r="A8" t="s">
        <v>427</v>
      </c>
      <c r="B8" t="s">
        <v>113</v>
      </c>
      <c r="D8" s="12">
        <f>0.0145*D4</f>
        <v>0</v>
      </c>
      <c r="E8" s="12">
        <v>713.02</v>
      </c>
      <c r="F8" s="12">
        <f>0.0145*F4</f>
        <v>700.97350000000006</v>
      </c>
      <c r="G8" s="12">
        <v>614</v>
      </c>
      <c r="H8" s="12">
        <f>0.0145*H4</f>
        <v>686.34300000000007</v>
      </c>
      <c r="I8" s="12">
        <v>825</v>
      </c>
      <c r="J8" s="12">
        <v>1143</v>
      </c>
      <c r="K8" s="12"/>
    </row>
    <row r="9" spans="1:11">
      <c r="A9" t="s">
        <v>58</v>
      </c>
      <c r="D9" s="58"/>
      <c r="E9" s="58"/>
      <c r="F9" s="58"/>
      <c r="G9" s="58"/>
      <c r="H9" s="58"/>
      <c r="I9" s="58"/>
      <c r="J9" s="12"/>
      <c r="K9" s="12"/>
    </row>
    <row r="10" spans="1:11">
      <c r="A10" t="s">
        <v>428</v>
      </c>
      <c r="B10" t="s">
        <v>243</v>
      </c>
      <c r="D10" s="57">
        <v>0</v>
      </c>
      <c r="E10" s="57">
        <v>2160</v>
      </c>
      <c r="F10" s="57">
        <v>4030</v>
      </c>
      <c r="G10" s="57">
        <v>2800</v>
      </c>
      <c r="H10" s="58">
        <v>3025</v>
      </c>
      <c r="I10" s="58">
        <v>2770</v>
      </c>
      <c r="J10" s="12">
        <v>1518</v>
      </c>
      <c r="K10" s="12"/>
    </row>
    <row r="11" spans="1:11">
      <c r="A11" t="s">
        <v>44</v>
      </c>
      <c r="D11" s="58"/>
      <c r="E11" s="58"/>
      <c r="F11" s="58"/>
      <c r="G11" s="58"/>
      <c r="H11" s="58"/>
      <c r="I11" s="58"/>
      <c r="J11" s="12"/>
      <c r="K11" s="12"/>
    </row>
    <row r="12" spans="1:11">
      <c r="A12" t="s">
        <v>429</v>
      </c>
      <c r="B12" t="s">
        <v>46</v>
      </c>
      <c r="D12" s="58">
        <v>0</v>
      </c>
      <c r="E12" s="58">
        <v>201.38</v>
      </c>
      <c r="F12" s="58">
        <v>36</v>
      </c>
      <c r="G12" s="58">
        <v>7</v>
      </c>
      <c r="H12" s="58">
        <v>99</v>
      </c>
      <c r="I12" s="58">
        <v>120</v>
      </c>
      <c r="J12" s="12">
        <v>0</v>
      </c>
      <c r="K12" s="12"/>
    </row>
    <row r="13" spans="1:11">
      <c r="A13" t="s">
        <v>430</v>
      </c>
      <c r="B13" t="s">
        <v>48</v>
      </c>
      <c r="D13" s="58">
        <v>0</v>
      </c>
      <c r="E13" s="58">
        <v>0</v>
      </c>
      <c r="F13" s="58">
        <v>0</v>
      </c>
      <c r="G13" s="58">
        <v>0</v>
      </c>
      <c r="H13" s="58">
        <v>0</v>
      </c>
      <c r="I13" s="58">
        <v>0</v>
      </c>
      <c r="J13" s="12">
        <v>0</v>
      </c>
      <c r="K13" s="12"/>
    </row>
    <row r="14" spans="1:11">
      <c r="A14" t="s">
        <v>431</v>
      </c>
      <c r="B14" t="s">
        <v>50</v>
      </c>
      <c r="D14" s="58">
        <v>0</v>
      </c>
      <c r="E14" s="58">
        <v>243</v>
      </c>
      <c r="F14" s="58">
        <v>218</v>
      </c>
      <c r="G14" s="58">
        <v>0</v>
      </c>
      <c r="H14" s="58">
        <v>67</v>
      </c>
      <c r="I14" s="58">
        <v>56</v>
      </c>
      <c r="J14" s="12">
        <v>56</v>
      </c>
      <c r="K14" s="12"/>
    </row>
    <row r="15" spans="1:11">
      <c r="A15" t="s">
        <v>432</v>
      </c>
      <c r="B15" t="s">
        <v>57</v>
      </c>
      <c r="D15" s="58">
        <v>0</v>
      </c>
      <c r="E15" s="58">
        <v>407.04</v>
      </c>
      <c r="F15" s="58">
        <v>169</v>
      </c>
      <c r="G15" s="58">
        <v>211</v>
      </c>
      <c r="H15" s="58">
        <v>23</v>
      </c>
      <c r="I15" s="58">
        <v>478</v>
      </c>
      <c r="J15" s="12">
        <v>166</v>
      </c>
      <c r="K15" s="12"/>
    </row>
    <row r="16" spans="1:11">
      <c r="A16" t="s">
        <v>208</v>
      </c>
      <c r="D16" s="58"/>
      <c r="E16" s="58"/>
      <c r="F16" s="58"/>
      <c r="G16" s="58"/>
      <c r="H16" s="58"/>
      <c r="I16" s="58"/>
      <c r="J16" s="12"/>
      <c r="K16" s="12"/>
    </row>
    <row r="17" spans="1:11">
      <c r="A17" t="s">
        <v>433</v>
      </c>
      <c r="B17" t="s">
        <v>210</v>
      </c>
      <c r="D17" s="58">
        <v>0</v>
      </c>
      <c r="E17" s="58">
        <v>367.56</v>
      </c>
      <c r="F17" s="58">
        <v>1339</v>
      </c>
      <c r="G17" s="58">
        <v>1175</v>
      </c>
      <c r="H17" s="58">
        <f>629+15</f>
        <v>644</v>
      </c>
      <c r="I17" s="58">
        <v>1130</v>
      </c>
      <c r="J17" s="12">
        <v>389</v>
      </c>
      <c r="K17" s="12"/>
    </row>
    <row r="18" spans="1:11">
      <c r="A18" t="s">
        <v>434</v>
      </c>
      <c r="B18" t="s">
        <v>42</v>
      </c>
      <c r="D18" s="58">
        <v>0</v>
      </c>
      <c r="E18" s="58">
        <v>7136.52</v>
      </c>
      <c r="F18" s="58">
        <v>6253</v>
      </c>
      <c r="G18" s="58">
        <v>5281</v>
      </c>
      <c r="H18" s="58">
        <v>4895</v>
      </c>
      <c r="I18" s="58">
        <f>5276+65</f>
        <v>5341</v>
      </c>
      <c r="J18" s="12">
        <v>3221</v>
      </c>
      <c r="K18" s="12"/>
    </row>
    <row r="19" spans="1:11">
      <c r="A19" t="s">
        <v>435</v>
      </c>
      <c r="B19" t="s">
        <v>43</v>
      </c>
      <c r="D19" s="58">
        <v>280</v>
      </c>
      <c r="E19" s="58">
        <v>1839.35</v>
      </c>
      <c r="F19" s="58">
        <v>3779</v>
      </c>
      <c r="G19" s="58">
        <v>2076</v>
      </c>
      <c r="H19" s="58">
        <v>2299</v>
      </c>
      <c r="I19" s="58">
        <v>4206</v>
      </c>
      <c r="J19" s="12">
        <v>3486</v>
      </c>
      <c r="K19" s="12"/>
    </row>
    <row r="20" spans="1:11">
      <c r="A20" t="s">
        <v>28</v>
      </c>
      <c r="D20" s="58"/>
      <c r="E20" s="58"/>
      <c r="F20" s="58"/>
      <c r="G20" s="58"/>
      <c r="H20" s="58"/>
      <c r="I20" s="58"/>
      <c r="J20" s="12"/>
      <c r="K20" s="12"/>
    </row>
    <row r="21" spans="1:11">
      <c r="A21" t="s">
        <v>436</v>
      </c>
      <c r="B21" t="s">
        <v>199</v>
      </c>
      <c r="D21" s="58">
        <v>130</v>
      </c>
      <c r="E21" s="58">
        <v>322.79000000000002</v>
      </c>
      <c r="F21" s="58">
        <v>50</v>
      </c>
      <c r="G21" s="58">
        <v>158</v>
      </c>
      <c r="H21" s="58">
        <v>96</v>
      </c>
      <c r="I21" s="58">
        <v>7</v>
      </c>
      <c r="J21" s="12">
        <v>379</v>
      </c>
      <c r="K21" s="12"/>
    </row>
    <row r="22" spans="1:11">
      <c r="A22" t="s">
        <v>437</v>
      </c>
      <c r="B22" t="s">
        <v>202</v>
      </c>
      <c r="D22" s="58">
        <v>100</v>
      </c>
      <c r="E22" s="58">
        <v>28</v>
      </c>
      <c r="F22" s="58">
        <v>14</v>
      </c>
      <c r="G22" s="58">
        <v>0</v>
      </c>
      <c r="H22" s="58">
        <v>42</v>
      </c>
      <c r="I22" s="58">
        <v>77</v>
      </c>
      <c r="J22" s="12">
        <v>38</v>
      </c>
      <c r="K22" s="12"/>
    </row>
    <row r="23" spans="1:11">
      <c r="A23" s="19" t="s">
        <v>678</v>
      </c>
      <c r="B23" t="s">
        <v>753</v>
      </c>
      <c r="D23" s="58">
        <v>50</v>
      </c>
      <c r="E23" s="58">
        <v>53.42</v>
      </c>
      <c r="F23" s="58">
        <v>48</v>
      </c>
      <c r="G23" s="58">
        <v>43</v>
      </c>
      <c r="H23" s="58">
        <v>71</v>
      </c>
      <c r="I23" s="58">
        <v>140</v>
      </c>
      <c r="J23" s="12">
        <v>161</v>
      </c>
      <c r="K23" s="12"/>
    </row>
    <row r="24" spans="1:11">
      <c r="A24" t="s">
        <v>438</v>
      </c>
      <c r="B24" t="s">
        <v>205</v>
      </c>
      <c r="D24" s="58">
        <v>150</v>
      </c>
      <c r="E24" s="58">
        <v>0</v>
      </c>
      <c r="F24" s="58">
        <v>1361</v>
      </c>
      <c r="G24" s="58">
        <v>77</v>
      </c>
      <c r="H24" s="58">
        <v>0</v>
      </c>
      <c r="I24" s="58">
        <v>53</v>
      </c>
      <c r="J24" s="12">
        <v>110</v>
      </c>
      <c r="K24" s="12"/>
    </row>
    <row r="25" spans="1:11">
      <c r="A25" t="s">
        <v>439</v>
      </c>
      <c r="B25" t="s">
        <v>207</v>
      </c>
      <c r="D25" s="58">
        <v>500</v>
      </c>
      <c r="E25" s="58">
        <v>246.75</v>
      </c>
      <c r="F25" s="58">
        <v>519</v>
      </c>
      <c r="G25" s="58">
        <v>181</v>
      </c>
      <c r="H25" s="58">
        <v>38</v>
      </c>
      <c r="I25" s="58">
        <v>453</v>
      </c>
      <c r="J25" s="12">
        <v>0</v>
      </c>
      <c r="K25" s="12"/>
    </row>
    <row r="26" spans="1:11">
      <c r="A26" s="19" t="s">
        <v>20</v>
      </c>
      <c r="D26" s="58"/>
      <c r="E26" s="58"/>
      <c r="F26" s="58"/>
      <c r="G26" s="58"/>
      <c r="H26" s="58"/>
      <c r="I26" s="58"/>
      <c r="J26" s="12"/>
      <c r="K26" s="12"/>
    </row>
    <row r="27" spans="1:11">
      <c r="A27" s="19" t="s">
        <v>681</v>
      </c>
      <c r="B27" s="19" t="s">
        <v>747</v>
      </c>
      <c r="D27" s="58"/>
      <c r="E27" s="58">
        <v>1553.23</v>
      </c>
      <c r="F27" s="58">
        <v>7833</v>
      </c>
      <c r="G27" s="58">
        <v>5313</v>
      </c>
      <c r="H27" s="58">
        <v>4217</v>
      </c>
      <c r="I27" s="58">
        <v>2195</v>
      </c>
      <c r="J27" s="12">
        <v>6356</v>
      </c>
      <c r="K27" s="12"/>
    </row>
    <row r="28" spans="1:11">
      <c r="A28" s="19" t="s">
        <v>682</v>
      </c>
      <c r="B28" s="19" t="s">
        <v>746</v>
      </c>
      <c r="D28" s="58">
        <v>0</v>
      </c>
      <c r="E28" s="58">
        <v>9491.68</v>
      </c>
      <c r="F28" s="58">
        <v>1674</v>
      </c>
      <c r="G28" s="58">
        <v>2278</v>
      </c>
      <c r="H28" s="58">
        <v>1821</v>
      </c>
      <c r="I28" s="58">
        <v>5346</v>
      </c>
      <c r="J28" s="12">
        <v>1495</v>
      </c>
      <c r="K28" s="12"/>
    </row>
    <row r="29" spans="1:11">
      <c r="A29" s="19" t="s">
        <v>801</v>
      </c>
      <c r="B29" s="19" t="s">
        <v>802</v>
      </c>
      <c r="D29" s="58">
        <v>0</v>
      </c>
      <c r="E29" s="58">
        <v>140.93</v>
      </c>
      <c r="F29" s="58">
        <v>353</v>
      </c>
      <c r="G29" s="58">
        <v>0</v>
      </c>
      <c r="H29" s="58">
        <v>36</v>
      </c>
      <c r="I29" s="58">
        <v>897</v>
      </c>
      <c r="J29" s="12">
        <v>0</v>
      </c>
      <c r="K29" s="12"/>
    </row>
    <row r="30" spans="1:11">
      <c r="A30" t="s">
        <v>9</v>
      </c>
      <c r="D30" s="58"/>
      <c r="E30" s="58"/>
      <c r="F30" s="58"/>
      <c r="G30" s="58"/>
      <c r="H30" s="58"/>
      <c r="I30" s="58"/>
      <c r="J30" s="12"/>
      <c r="K30" s="12"/>
    </row>
    <row r="31" spans="1:11">
      <c r="A31" t="s">
        <v>916</v>
      </c>
      <c r="B31" t="s">
        <v>701</v>
      </c>
      <c r="D31" s="58">
        <v>0</v>
      </c>
      <c r="E31" s="58">
        <v>0</v>
      </c>
      <c r="F31" s="58">
        <v>386</v>
      </c>
      <c r="G31" s="58">
        <v>2000</v>
      </c>
      <c r="H31" s="58">
        <v>0</v>
      </c>
      <c r="I31" s="58">
        <v>0</v>
      </c>
      <c r="J31" s="12">
        <v>0</v>
      </c>
      <c r="K31" s="12"/>
    </row>
    <row r="32" spans="1:11">
      <c r="A32" t="s">
        <v>440</v>
      </c>
      <c r="B32" t="s">
        <v>17</v>
      </c>
      <c r="D32" s="58">
        <v>0</v>
      </c>
      <c r="E32" s="58">
        <v>0</v>
      </c>
      <c r="F32" s="58">
        <v>0</v>
      </c>
      <c r="G32" s="58">
        <v>0</v>
      </c>
      <c r="H32" s="58">
        <v>170</v>
      </c>
      <c r="I32" s="58">
        <v>0</v>
      </c>
      <c r="J32" s="12">
        <v>0</v>
      </c>
      <c r="K32" s="12"/>
    </row>
    <row r="33" spans="1:11">
      <c r="A33" s="19" t="s">
        <v>679</v>
      </c>
      <c r="B33" s="41" t="s">
        <v>125</v>
      </c>
      <c r="D33" s="57">
        <v>73740</v>
      </c>
      <c r="E33" s="57">
        <v>8411.7099999999991</v>
      </c>
      <c r="F33" s="57">
        <v>2984</v>
      </c>
      <c r="G33" s="57">
        <v>4427</v>
      </c>
      <c r="H33" s="58">
        <v>117</v>
      </c>
      <c r="I33" s="58">
        <v>17</v>
      </c>
      <c r="J33" s="12">
        <v>13</v>
      </c>
      <c r="K33" s="12"/>
    </row>
    <row r="34" spans="1:11">
      <c r="A34" t="s">
        <v>8</v>
      </c>
      <c r="D34" s="58"/>
      <c r="E34" s="58"/>
      <c r="F34" s="58"/>
      <c r="G34" s="58"/>
      <c r="H34" s="58"/>
      <c r="I34" s="58"/>
      <c r="J34" s="12"/>
      <c r="K34" s="12"/>
    </row>
    <row r="35" spans="1:11">
      <c r="A35" s="41" t="s">
        <v>889</v>
      </c>
      <c r="B35" s="41" t="s">
        <v>120</v>
      </c>
      <c r="D35" s="58">
        <v>0</v>
      </c>
      <c r="E35" s="58">
        <v>4.49</v>
      </c>
      <c r="F35" s="58">
        <v>46</v>
      </c>
      <c r="G35" s="58">
        <v>2</v>
      </c>
      <c r="H35" s="58">
        <v>21</v>
      </c>
      <c r="I35" s="58">
        <v>0</v>
      </c>
      <c r="J35" s="12">
        <v>0</v>
      </c>
      <c r="K35" s="12"/>
    </row>
    <row r="36" spans="1:11">
      <c r="A36" t="s">
        <v>441</v>
      </c>
      <c r="B36" t="s">
        <v>119</v>
      </c>
      <c r="D36" s="58">
        <v>550</v>
      </c>
      <c r="E36" s="58">
        <v>441.09</v>
      </c>
      <c r="F36" s="58">
        <v>511</v>
      </c>
      <c r="G36" s="58">
        <v>411</v>
      </c>
      <c r="H36" s="58">
        <v>529</v>
      </c>
      <c r="I36" s="58">
        <v>407</v>
      </c>
      <c r="J36" s="12">
        <v>122</v>
      </c>
      <c r="K36" s="12"/>
    </row>
    <row r="37" spans="1:11">
      <c r="A37" t="s">
        <v>193</v>
      </c>
      <c r="D37" s="58"/>
      <c r="E37" s="58"/>
      <c r="F37" s="58"/>
      <c r="G37" s="58"/>
      <c r="H37" s="58"/>
      <c r="I37" s="58"/>
      <c r="J37" s="12"/>
      <c r="K37" s="12"/>
    </row>
    <row r="38" spans="1:11">
      <c r="A38" t="s">
        <v>442</v>
      </c>
      <c r="B38" t="s">
        <v>195</v>
      </c>
      <c r="D38" s="58">
        <v>0</v>
      </c>
      <c r="E38" s="58">
        <v>290.95</v>
      </c>
      <c r="F38" s="58">
        <v>157</v>
      </c>
      <c r="G38" s="58">
        <v>85</v>
      </c>
      <c r="H38" s="58">
        <v>90</v>
      </c>
      <c r="I38" s="58">
        <v>116</v>
      </c>
      <c r="J38" s="12">
        <v>193</v>
      </c>
      <c r="K38" s="12"/>
    </row>
    <row r="39" spans="1:11">
      <c r="A39" t="s">
        <v>186</v>
      </c>
      <c r="D39" s="58"/>
      <c r="E39" s="58"/>
      <c r="F39" s="58"/>
      <c r="G39" s="58"/>
      <c r="H39" s="58"/>
      <c r="I39" s="58"/>
      <c r="J39" s="12"/>
    </row>
    <row r="40" spans="1:11">
      <c r="A40" s="19" t="s">
        <v>680</v>
      </c>
      <c r="B40" s="19" t="s">
        <v>188</v>
      </c>
      <c r="D40" s="58">
        <v>0</v>
      </c>
      <c r="E40" s="58">
        <v>0</v>
      </c>
      <c r="F40" s="58">
        <v>0</v>
      </c>
      <c r="G40" s="58">
        <v>110</v>
      </c>
      <c r="H40" s="58">
        <v>0</v>
      </c>
      <c r="I40" s="58">
        <v>0</v>
      </c>
      <c r="J40" s="12">
        <v>183</v>
      </c>
      <c r="K40" s="12"/>
    </row>
    <row r="41" spans="1:11">
      <c r="A41" t="s">
        <v>443</v>
      </c>
      <c r="B41" t="s">
        <v>190</v>
      </c>
      <c r="D41" s="58">
        <v>0</v>
      </c>
      <c r="E41" s="58">
        <v>161.69999999999999</v>
      </c>
      <c r="F41" s="58">
        <v>130</v>
      </c>
      <c r="G41" s="58">
        <v>232</v>
      </c>
      <c r="H41" s="58">
        <v>487</v>
      </c>
      <c r="I41" s="58">
        <v>116</v>
      </c>
      <c r="J41" s="12">
        <v>315</v>
      </c>
      <c r="K41" s="12"/>
    </row>
    <row r="42" spans="1:11">
      <c r="A42" t="s">
        <v>444</v>
      </c>
      <c r="B42" t="s">
        <v>191</v>
      </c>
      <c r="D42" s="58">
        <v>1000</v>
      </c>
      <c r="E42" s="58">
        <v>3764.49</v>
      </c>
      <c r="F42" s="58">
        <v>2428</v>
      </c>
      <c r="G42" s="58">
        <v>2286</v>
      </c>
      <c r="H42" s="58">
        <v>2434</v>
      </c>
      <c r="I42" s="58">
        <v>2077</v>
      </c>
      <c r="J42" s="12">
        <v>1117</v>
      </c>
      <c r="K42" s="12"/>
    </row>
    <row r="43" spans="1:11">
      <c r="A43" t="s">
        <v>180</v>
      </c>
      <c r="D43" s="58"/>
      <c r="E43" s="58"/>
      <c r="F43" s="58"/>
      <c r="G43" s="58"/>
      <c r="H43" s="58"/>
      <c r="I43" s="58"/>
      <c r="J43" s="12"/>
      <c r="K43" s="12"/>
    </row>
    <row r="44" spans="1:11">
      <c r="A44" t="s">
        <v>445</v>
      </c>
      <c r="B44" t="s">
        <v>183</v>
      </c>
      <c r="D44" s="58">
        <v>0</v>
      </c>
      <c r="E44" s="58">
        <v>0</v>
      </c>
      <c r="F44" s="58">
        <v>0</v>
      </c>
      <c r="G44" s="58">
        <v>55</v>
      </c>
      <c r="H44" s="58">
        <v>0</v>
      </c>
      <c r="I44" s="58">
        <v>102</v>
      </c>
      <c r="J44" s="12">
        <v>152</v>
      </c>
      <c r="K44" s="12"/>
    </row>
    <row r="45" spans="1:11">
      <c r="A45" t="s">
        <v>173</v>
      </c>
      <c r="D45" s="58"/>
      <c r="E45" s="58"/>
      <c r="F45" s="58"/>
      <c r="G45" s="58"/>
      <c r="H45" s="58"/>
      <c r="I45" s="58"/>
      <c r="J45" s="12"/>
      <c r="K45" s="12"/>
    </row>
    <row r="46" spans="1:11">
      <c r="A46" t="s">
        <v>446</v>
      </c>
      <c r="B46" t="s">
        <v>115</v>
      </c>
      <c r="D46" s="57">
        <f>1208*110%</f>
        <v>1328.8000000000002</v>
      </c>
      <c r="E46" s="57">
        <v>1208</v>
      </c>
      <c r="F46" s="57">
        <v>924</v>
      </c>
      <c r="G46" s="57">
        <v>1201</v>
      </c>
      <c r="H46" s="58">
        <v>1194</v>
      </c>
      <c r="I46" s="58">
        <v>1130</v>
      </c>
      <c r="J46" s="12">
        <v>589</v>
      </c>
      <c r="K46" s="12"/>
    </row>
    <row r="47" spans="1:11">
      <c r="A47" t="s">
        <v>447</v>
      </c>
      <c r="B47" t="s">
        <v>176</v>
      </c>
      <c r="D47" s="57">
        <f>8942*107%</f>
        <v>9567.94</v>
      </c>
      <c r="E47" s="57">
        <v>8942</v>
      </c>
      <c r="F47" s="57">
        <v>4245</v>
      </c>
      <c r="G47" s="57">
        <v>5765</v>
      </c>
      <c r="H47" s="58">
        <v>5680</v>
      </c>
      <c r="I47" s="58">
        <v>8446</v>
      </c>
      <c r="J47" s="12">
        <v>8205</v>
      </c>
      <c r="K47" s="12"/>
    </row>
    <row r="48" spans="1:11">
      <c r="A48" t="s">
        <v>163</v>
      </c>
      <c r="D48" s="58"/>
      <c r="E48" s="58"/>
      <c r="F48" s="58"/>
      <c r="G48" s="58"/>
      <c r="H48" s="58"/>
      <c r="I48" s="58"/>
      <c r="J48" s="12"/>
      <c r="K48" s="12"/>
    </row>
    <row r="49" spans="1:11">
      <c r="A49" t="s">
        <v>448</v>
      </c>
      <c r="B49" t="s">
        <v>164</v>
      </c>
      <c r="D49" s="57">
        <v>8682</v>
      </c>
      <c r="E49" s="57">
        <v>9231.36</v>
      </c>
      <c r="F49" s="57">
        <v>7335</v>
      </c>
      <c r="G49" s="57">
        <v>7550</v>
      </c>
      <c r="H49" s="58">
        <v>11247</v>
      </c>
      <c r="I49" s="58">
        <v>10043</v>
      </c>
      <c r="J49" s="12">
        <v>10558</v>
      </c>
      <c r="K49" s="12"/>
    </row>
    <row r="50" spans="1:11">
      <c r="A50" t="s">
        <v>449</v>
      </c>
      <c r="B50" t="s">
        <v>165</v>
      </c>
      <c r="D50" s="57">
        <v>3565</v>
      </c>
      <c r="E50" s="57">
        <v>3577.98</v>
      </c>
      <c r="F50" s="57">
        <v>1246</v>
      </c>
      <c r="G50" s="57">
        <v>1557</v>
      </c>
      <c r="H50" s="58">
        <v>697</v>
      </c>
      <c r="I50" s="58">
        <v>1380</v>
      </c>
      <c r="J50" s="12">
        <v>1997</v>
      </c>
      <c r="K50" s="12"/>
    </row>
    <row r="51" spans="1:11">
      <c r="A51" t="s">
        <v>450</v>
      </c>
      <c r="B51" t="s">
        <v>166</v>
      </c>
      <c r="D51" s="58">
        <v>5837</v>
      </c>
      <c r="E51" s="58">
        <v>5877.52</v>
      </c>
      <c r="F51" s="58">
        <v>5164</v>
      </c>
      <c r="G51" s="58">
        <v>3934</v>
      </c>
      <c r="H51" s="60">
        <v>6683</v>
      </c>
      <c r="I51" s="58">
        <v>13177</v>
      </c>
      <c r="J51" s="12">
        <v>13248</v>
      </c>
      <c r="K51" s="12"/>
    </row>
    <row r="52" spans="1:11">
      <c r="A52" t="s">
        <v>451</v>
      </c>
      <c r="B52" t="s">
        <v>167</v>
      </c>
      <c r="D52" s="58">
        <v>1174</v>
      </c>
      <c r="E52" s="58">
        <v>1173.93</v>
      </c>
      <c r="F52" s="58">
        <v>828</v>
      </c>
      <c r="G52" s="58">
        <v>696</v>
      </c>
      <c r="H52" s="58">
        <v>518</v>
      </c>
      <c r="I52" s="58">
        <v>666</v>
      </c>
      <c r="J52" s="12">
        <v>588</v>
      </c>
      <c r="K52" s="12"/>
    </row>
    <row r="53" spans="1:11">
      <c r="A53" t="s">
        <v>452</v>
      </c>
      <c r="B53" t="s">
        <v>168</v>
      </c>
      <c r="D53" s="57">
        <v>3069</v>
      </c>
      <c r="E53" s="57">
        <v>3084.67</v>
      </c>
      <c r="F53" s="57">
        <v>1268</v>
      </c>
      <c r="G53" s="57">
        <v>1579</v>
      </c>
      <c r="H53" s="58">
        <v>720</v>
      </c>
      <c r="I53" s="58">
        <v>1365</v>
      </c>
      <c r="J53" s="12">
        <v>2042</v>
      </c>
      <c r="K53" s="12"/>
    </row>
    <row r="54" spans="1:11">
      <c r="A54" s="19" t="s">
        <v>683</v>
      </c>
      <c r="B54" s="28" t="s">
        <v>684</v>
      </c>
      <c r="D54" s="58">
        <v>0</v>
      </c>
      <c r="E54" s="58">
        <v>0</v>
      </c>
      <c r="F54" s="58">
        <v>0</v>
      </c>
      <c r="G54" s="58">
        <v>0</v>
      </c>
      <c r="H54" s="58">
        <v>0</v>
      </c>
      <c r="I54" s="58">
        <v>0</v>
      </c>
      <c r="J54" s="12">
        <v>10375</v>
      </c>
      <c r="K54" s="12"/>
    </row>
    <row r="55" spans="1:11">
      <c r="A55" s="41" t="s">
        <v>665</v>
      </c>
      <c r="B55" s="28"/>
      <c r="D55" s="58"/>
      <c r="E55" s="58"/>
      <c r="F55" s="58"/>
      <c r="G55" s="58"/>
      <c r="H55" s="58"/>
      <c r="I55" s="58"/>
      <c r="J55" s="12"/>
      <c r="K55" s="12"/>
    </row>
    <row r="56" spans="1:11">
      <c r="A56" s="41" t="s">
        <v>978</v>
      </c>
      <c r="B56" s="41" t="s">
        <v>670</v>
      </c>
      <c r="D56" s="58">
        <v>0</v>
      </c>
      <c r="E56" s="58">
        <v>1835.88</v>
      </c>
      <c r="F56" s="58">
        <v>0</v>
      </c>
      <c r="G56" s="58">
        <v>0</v>
      </c>
      <c r="H56" s="58">
        <v>0</v>
      </c>
      <c r="I56" s="58">
        <v>0</v>
      </c>
      <c r="J56" s="12">
        <v>0</v>
      </c>
      <c r="K56" s="12"/>
    </row>
    <row r="57" spans="1:11">
      <c r="A57" s="41" t="s">
        <v>979</v>
      </c>
      <c r="B57" s="41" t="s">
        <v>980</v>
      </c>
      <c r="D57" s="58">
        <v>0</v>
      </c>
      <c r="E57" s="58">
        <v>427.5</v>
      </c>
      <c r="F57" s="58">
        <v>0</v>
      </c>
      <c r="G57" s="58">
        <v>0</v>
      </c>
      <c r="H57" s="58">
        <v>0</v>
      </c>
      <c r="I57" s="58">
        <v>0</v>
      </c>
      <c r="J57" s="12">
        <v>0</v>
      </c>
      <c r="K57" s="12"/>
    </row>
    <row r="58" spans="1:11">
      <c r="A58" s="41" t="s">
        <v>977</v>
      </c>
      <c r="B58" s="41" t="s">
        <v>153</v>
      </c>
      <c r="D58" s="58">
        <v>0</v>
      </c>
      <c r="E58" s="58">
        <v>4299</v>
      </c>
      <c r="F58" s="58">
        <v>0</v>
      </c>
      <c r="G58" s="58">
        <v>0</v>
      </c>
      <c r="H58" s="58">
        <v>0</v>
      </c>
      <c r="I58" s="58">
        <v>0</v>
      </c>
      <c r="J58" s="12">
        <v>0</v>
      </c>
      <c r="K58" s="12"/>
    </row>
    <row r="59" spans="1:11">
      <c r="A59" t="s">
        <v>157</v>
      </c>
      <c r="D59" s="58"/>
      <c r="E59" s="58"/>
      <c r="F59" s="58"/>
      <c r="G59" s="58"/>
      <c r="H59" s="58"/>
      <c r="I59" s="58"/>
      <c r="J59" s="12"/>
      <c r="K59" s="12"/>
    </row>
    <row r="60" spans="1:11">
      <c r="A60" t="s">
        <v>961</v>
      </c>
      <c r="B60" t="s">
        <v>158</v>
      </c>
      <c r="D60" s="58">
        <v>3575</v>
      </c>
      <c r="E60" s="58">
        <v>3625.3</v>
      </c>
      <c r="F60" s="58">
        <v>0</v>
      </c>
      <c r="G60" s="58">
        <v>0</v>
      </c>
      <c r="H60" s="58">
        <v>0</v>
      </c>
      <c r="I60" s="58">
        <v>0</v>
      </c>
      <c r="J60" s="12">
        <v>0</v>
      </c>
      <c r="K60" s="12"/>
    </row>
    <row r="61" spans="1:11">
      <c r="A61" t="s">
        <v>453</v>
      </c>
      <c r="B61" t="s">
        <v>159</v>
      </c>
      <c r="D61" s="58">
        <v>1750</v>
      </c>
      <c r="E61" s="58">
        <v>0</v>
      </c>
      <c r="F61" s="58">
        <v>570</v>
      </c>
      <c r="G61" s="58">
        <v>40</v>
      </c>
      <c r="H61" s="58">
        <v>40</v>
      </c>
      <c r="I61" s="58">
        <v>0</v>
      </c>
      <c r="J61" s="12">
        <v>0</v>
      </c>
      <c r="K61" s="12"/>
    </row>
    <row r="62" spans="1:11">
      <c r="A62" t="s">
        <v>454</v>
      </c>
      <c r="B62" t="s">
        <v>160</v>
      </c>
      <c r="D62" s="57">
        <v>4049</v>
      </c>
      <c r="E62" s="57">
        <v>2849.05</v>
      </c>
      <c r="F62" s="57">
        <v>241</v>
      </c>
      <c r="G62" s="57">
        <v>7679</v>
      </c>
      <c r="H62" s="58">
        <v>199</v>
      </c>
      <c r="I62" s="58">
        <v>3916</v>
      </c>
      <c r="J62" s="12">
        <v>8344</v>
      </c>
      <c r="K62" s="12"/>
    </row>
    <row r="63" spans="1:11">
      <c r="A63" t="s">
        <v>151</v>
      </c>
      <c r="D63" s="58"/>
      <c r="E63" s="58"/>
      <c r="F63" s="58"/>
      <c r="G63" s="58"/>
      <c r="H63" s="58"/>
      <c r="I63" s="58"/>
      <c r="J63" s="12"/>
      <c r="K63" s="12"/>
    </row>
    <row r="64" spans="1:11">
      <c r="A64" t="s">
        <v>455</v>
      </c>
      <c r="B64" t="s">
        <v>153</v>
      </c>
      <c r="D64" s="58">
        <v>0</v>
      </c>
      <c r="E64" s="58">
        <v>0</v>
      </c>
      <c r="F64" s="58">
        <v>0</v>
      </c>
      <c r="G64" s="58">
        <v>0</v>
      </c>
      <c r="H64" s="58">
        <v>0</v>
      </c>
      <c r="I64" s="58">
        <v>0</v>
      </c>
      <c r="J64" s="12">
        <v>27</v>
      </c>
      <c r="K64" s="12"/>
    </row>
    <row r="65" spans="1:11">
      <c r="A65" t="s">
        <v>148</v>
      </c>
      <c r="D65" s="58"/>
      <c r="E65" s="58"/>
      <c r="F65" s="58"/>
      <c r="G65" s="58"/>
      <c r="H65" s="58"/>
      <c r="I65" s="58"/>
      <c r="J65" s="12"/>
      <c r="K65" s="12"/>
    </row>
    <row r="66" spans="1:11">
      <c r="A66" t="s">
        <v>456</v>
      </c>
      <c r="B66" t="s">
        <v>149</v>
      </c>
      <c r="D66" s="57">
        <v>18000</v>
      </c>
      <c r="E66" s="57">
        <v>0</v>
      </c>
      <c r="F66" s="57">
        <v>20000</v>
      </c>
      <c r="G66" s="57">
        <v>0</v>
      </c>
      <c r="H66" s="58">
        <v>0</v>
      </c>
      <c r="I66" s="58">
        <v>0</v>
      </c>
      <c r="J66" s="12">
        <v>0</v>
      </c>
      <c r="K66" s="12"/>
    </row>
    <row r="67" spans="1:11">
      <c r="A67" t="s">
        <v>141</v>
      </c>
      <c r="D67" s="58"/>
      <c r="E67" s="58"/>
      <c r="F67" s="58"/>
      <c r="G67" s="58"/>
      <c r="H67" s="58"/>
      <c r="I67" s="58"/>
      <c r="J67" s="12"/>
    </row>
    <row r="68" spans="1:11">
      <c r="A68" t="s">
        <v>457</v>
      </c>
      <c r="B68" t="s">
        <v>124</v>
      </c>
      <c r="D68" s="58">
        <v>0</v>
      </c>
      <c r="E68" s="58">
        <v>660.42</v>
      </c>
      <c r="F68" s="58">
        <v>730</v>
      </c>
      <c r="G68" s="58">
        <v>651</v>
      </c>
      <c r="H68" s="58">
        <v>44</v>
      </c>
      <c r="I68" s="58">
        <v>930</v>
      </c>
      <c r="J68" s="12">
        <v>443</v>
      </c>
    </row>
    <row r="69" spans="1:11">
      <c r="A69" t="s">
        <v>458</v>
      </c>
      <c r="B69" t="s">
        <v>122</v>
      </c>
      <c r="D69" s="58">
        <v>0</v>
      </c>
      <c r="E69" s="58">
        <v>705</v>
      </c>
      <c r="F69" s="58">
        <v>1308</v>
      </c>
      <c r="G69" s="58">
        <v>200</v>
      </c>
      <c r="H69" s="58">
        <v>649</v>
      </c>
      <c r="I69" s="58">
        <v>1004</v>
      </c>
      <c r="J69" s="12">
        <v>1175</v>
      </c>
    </row>
    <row r="70" spans="1:11">
      <c r="A70" s="19" t="s">
        <v>744</v>
      </c>
      <c r="B70" s="19" t="s">
        <v>745</v>
      </c>
      <c r="D70" s="58">
        <v>0</v>
      </c>
      <c r="E70" s="58">
        <v>0</v>
      </c>
      <c r="F70" s="58">
        <v>0</v>
      </c>
      <c r="G70" s="58">
        <v>0</v>
      </c>
      <c r="H70" s="58">
        <v>0</v>
      </c>
      <c r="I70" s="58">
        <v>45</v>
      </c>
      <c r="J70" s="12">
        <v>0</v>
      </c>
    </row>
    <row r="71" spans="1:11">
      <c r="A71" t="s">
        <v>459</v>
      </c>
      <c r="B71" t="s">
        <v>142</v>
      </c>
      <c r="D71" s="58">
        <v>0</v>
      </c>
      <c r="E71" s="58">
        <v>69.36</v>
      </c>
      <c r="F71" s="58">
        <v>216</v>
      </c>
      <c r="G71" s="58">
        <v>149</v>
      </c>
      <c r="H71" s="58">
        <v>22.19</v>
      </c>
      <c r="I71" s="58">
        <v>955</v>
      </c>
      <c r="J71" s="12">
        <v>1351</v>
      </c>
    </row>
    <row r="72" spans="1:11">
      <c r="D72" s="58"/>
      <c r="E72" s="58"/>
      <c r="F72" s="58"/>
      <c r="G72" s="58"/>
      <c r="H72" s="58"/>
      <c r="I72" s="58"/>
      <c r="J72" s="12"/>
    </row>
    <row r="73" spans="1:11">
      <c r="B73" s="38" t="s">
        <v>77</v>
      </c>
      <c r="D73" s="57">
        <f>SUM(D4:D71)</f>
        <v>137097.74</v>
      </c>
      <c r="E73" s="57">
        <f>SUM(E4:E71)</f>
        <v>137768.07999999993</v>
      </c>
      <c r="F73" s="57">
        <f>SUM(F4:F71)</f>
        <v>130434.2395</v>
      </c>
      <c r="G73" s="57">
        <f>SUM(G4:G71)</f>
        <v>105799</v>
      </c>
      <c r="H73" s="60">
        <f>SUM(H4:H72)</f>
        <v>99869.532999999996</v>
      </c>
      <c r="I73" s="57">
        <f>SUM(I4:I72)</f>
        <v>130400</v>
      </c>
      <c r="J73" s="12">
        <f>SUM(J3:J72)</f>
        <v>147927</v>
      </c>
    </row>
    <row r="74" spans="1:11">
      <c r="A74" s="19"/>
    </row>
  </sheetData>
  <phoneticPr fontId="2" type="noConversion"/>
  <pageMargins left="0.25" right="0.25" top="0.75" bottom="0.75" header="0.3" footer="0.3"/>
  <pageSetup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dimension ref="A1:J42"/>
  <sheetViews>
    <sheetView topLeftCell="A13" workbookViewId="0">
      <selection activeCell="E1" sqref="E1"/>
    </sheetView>
  </sheetViews>
  <sheetFormatPr defaultRowHeight="12.75"/>
  <cols>
    <col min="1" max="1" width="18.28515625" customWidth="1"/>
    <col min="2" max="2" width="27.42578125" customWidth="1"/>
    <col min="3" max="3" width="5.7109375" customWidth="1"/>
    <col min="4" max="4" width="11.7109375" customWidth="1"/>
    <col min="5" max="6" width="10.7109375" customWidth="1"/>
    <col min="7" max="7" width="11.28515625" customWidth="1"/>
    <col min="8" max="10" width="10.7109375" customWidth="1"/>
  </cols>
  <sheetData>
    <row r="1" spans="1:10" ht="15.75">
      <c r="B1" s="20" t="s">
        <v>3</v>
      </c>
      <c r="D1" s="21">
        <v>2013</v>
      </c>
      <c r="E1" s="74">
        <v>2012</v>
      </c>
      <c r="F1" s="74">
        <v>2011</v>
      </c>
      <c r="G1" s="24">
        <v>2010</v>
      </c>
      <c r="H1" s="74">
        <v>2009</v>
      </c>
      <c r="I1" s="24">
        <v>2008</v>
      </c>
      <c r="J1" s="24">
        <v>2007</v>
      </c>
    </row>
    <row r="2" spans="1:10">
      <c r="A2" t="s">
        <v>108</v>
      </c>
      <c r="D2" s="24" t="s">
        <v>676</v>
      </c>
      <c r="E2" s="74" t="s">
        <v>677</v>
      </c>
      <c r="F2" s="74" t="s">
        <v>917</v>
      </c>
      <c r="G2" s="24" t="s">
        <v>677</v>
      </c>
      <c r="H2" s="74" t="s">
        <v>677</v>
      </c>
      <c r="I2" s="25" t="s">
        <v>677</v>
      </c>
      <c r="J2" s="25" t="s">
        <v>677</v>
      </c>
    </row>
    <row r="3" spans="1:10">
      <c r="A3" t="s">
        <v>253</v>
      </c>
      <c r="H3" s="12"/>
    </row>
    <row r="4" spans="1:10">
      <c r="A4" t="s">
        <v>460</v>
      </c>
      <c r="B4" t="s">
        <v>62</v>
      </c>
      <c r="D4" s="12">
        <v>7500</v>
      </c>
      <c r="E4" s="12">
        <v>6343.08</v>
      </c>
      <c r="F4" s="12">
        <v>15794</v>
      </c>
      <c r="G4" s="12">
        <f>10823+668</f>
        <v>11491</v>
      </c>
      <c r="H4" s="12">
        <f>8900+816</f>
        <v>9716</v>
      </c>
      <c r="I4" s="12">
        <v>7334</v>
      </c>
      <c r="J4" s="26">
        <v>8322</v>
      </c>
    </row>
    <row r="5" spans="1:10">
      <c r="A5" t="s">
        <v>249</v>
      </c>
      <c r="D5" s="12"/>
      <c r="E5" s="12"/>
      <c r="F5" s="12"/>
      <c r="G5" s="12"/>
      <c r="H5" s="12"/>
      <c r="I5" s="12"/>
      <c r="J5" s="26"/>
    </row>
    <row r="6" spans="1:10">
      <c r="A6" t="s">
        <v>461</v>
      </c>
      <c r="B6" t="s">
        <v>111</v>
      </c>
      <c r="D6" s="12">
        <f>0.062*D4</f>
        <v>465</v>
      </c>
      <c r="E6" s="12">
        <v>393.25</v>
      </c>
      <c r="F6" s="12">
        <v>979</v>
      </c>
      <c r="G6" s="12">
        <v>713</v>
      </c>
      <c r="H6" s="12">
        <f>0.062*H4</f>
        <v>602.39199999999994</v>
      </c>
      <c r="I6" s="12">
        <v>455</v>
      </c>
      <c r="J6" s="26">
        <v>515</v>
      </c>
    </row>
    <row r="7" spans="1:10">
      <c r="A7" t="s">
        <v>462</v>
      </c>
      <c r="B7" t="s">
        <v>113</v>
      </c>
      <c r="D7" s="12">
        <f>0.0145*D4</f>
        <v>108.75</v>
      </c>
      <c r="E7" s="12">
        <v>91.99</v>
      </c>
      <c r="F7" s="12">
        <v>229</v>
      </c>
      <c r="G7" s="12">
        <v>168</v>
      </c>
      <c r="H7" s="12">
        <f>0.0145*H4</f>
        <v>140.88200000000001</v>
      </c>
      <c r="I7" s="12">
        <v>106</v>
      </c>
      <c r="J7" s="26">
        <v>120</v>
      </c>
    </row>
    <row r="8" spans="1:10">
      <c r="A8" t="s">
        <v>58</v>
      </c>
      <c r="D8" s="12"/>
      <c r="E8" s="12"/>
      <c r="F8" s="12"/>
      <c r="G8" s="12"/>
      <c r="H8" s="12"/>
      <c r="I8" s="12"/>
      <c r="J8" s="26"/>
    </row>
    <row r="9" spans="1:10">
      <c r="A9" t="s">
        <v>463</v>
      </c>
      <c r="B9" t="s">
        <v>243</v>
      </c>
      <c r="D9" s="12">
        <f>522*106%</f>
        <v>553.32000000000005</v>
      </c>
      <c r="E9" s="12">
        <v>0</v>
      </c>
      <c r="F9" s="12">
        <v>0</v>
      </c>
      <c r="G9" s="12">
        <v>0</v>
      </c>
      <c r="H9" s="12">
        <v>0</v>
      </c>
      <c r="I9" s="12">
        <v>0</v>
      </c>
      <c r="J9" s="26">
        <v>0</v>
      </c>
    </row>
    <row r="10" spans="1:10">
      <c r="A10" t="s">
        <v>44</v>
      </c>
      <c r="D10" s="58"/>
      <c r="E10" s="58"/>
      <c r="F10" s="58"/>
      <c r="G10" s="58"/>
      <c r="H10" s="58"/>
      <c r="I10" s="58"/>
      <c r="J10" s="26"/>
    </row>
    <row r="11" spans="1:10">
      <c r="A11" t="s">
        <v>464</v>
      </c>
      <c r="B11" t="s">
        <v>48</v>
      </c>
      <c r="D11" s="57">
        <v>120</v>
      </c>
      <c r="E11" s="57">
        <v>0</v>
      </c>
      <c r="F11" s="57">
        <v>156</v>
      </c>
      <c r="G11" s="57">
        <v>0</v>
      </c>
      <c r="H11" s="58">
        <v>120</v>
      </c>
      <c r="I11" s="58">
        <v>0</v>
      </c>
      <c r="J11" s="26">
        <v>0</v>
      </c>
    </row>
    <row r="12" spans="1:10">
      <c r="A12" s="19" t="s">
        <v>751</v>
      </c>
      <c r="B12" s="19" t="s">
        <v>752</v>
      </c>
      <c r="D12" s="58">
        <v>0</v>
      </c>
      <c r="E12" s="58">
        <v>0</v>
      </c>
      <c r="F12" s="58">
        <v>27</v>
      </c>
      <c r="G12" s="58">
        <v>5</v>
      </c>
      <c r="H12" s="58">
        <v>9</v>
      </c>
      <c r="I12" s="58">
        <v>18</v>
      </c>
      <c r="J12" s="26">
        <v>0</v>
      </c>
    </row>
    <row r="13" spans="1:10">
      <c r="A13" t="s">
        <v>208</v>
      </c>
      <c r="D13" s="58"/>
      <c r="E13" s="58"/>
      <c r="F13" s="58"/>
      <c r="G13" s="58"/>
      <c r="H13" s="58"/>
      <c r="I13" s="58"/>
      <c r="J13" s="26"/>
    </row>
    <row r="14" spans="1:10">
      <c r="A14" t="s">
        <v>465</v>
      </c>
      <c r="B14" t="s">
        <v>43</v>
      </c>
      <c r="D14" s="57">
        <v>2500</v>
      </c>
      <c r="E14" s="57">
        <v>516.70000000000005</v>
      </c>
      <c r="F14" s="57">
        <v>6590</v>
      </c>
      <c r="G14" s="57">
        <f>2956+35+75+75</f>
        <v>3141</v>
      </c>
      <c r="H14" s="58">
        <v>4171</v>
      </c>
      <c r="I14" s="58">
        <v>2650</v>
      </c>
      <c r="J14" s="26">
        <v>0</v>
      </c>
    </row>
    <row r="15" spans="1:10">
      <c r="A15" t="s">
        <v>946</v>
      </c>
      <c r="B15" t="s">
        <v>947</v>
      </c>
      <c r="D15" s="57">
        <v>0</v>
      </c>
      <c r="E15" s="57">
        <v>0</v>
      </c>
      <c r="F15" s="57">
        <v>234</v>
      </c>
      <c r="G15" s="57">
        <v>0</v>
      </c>
      <c r="H15" s="58">
        <v>0</v>
      </c>
      <c r="I15" s="58">
        <v>0</v>
      </c>
      <c r="J15" s="26">
        <v>0</v>
      </c>
    </row>
    <row r="16" spans="1:10">
      <c r="A16" t="s">
        <v>20</v>
      </c>
      <c r="D16" s="58"/>
      <c r="E16" s="58"/>
      <c r="F16" s="58"/>
      <c r="G16" s="58"/>
      <c r="H16" s="58"/>
      <c r="I16" s="58"/>
      <c r="J16" s="26"/>
    </row>
    <row r="17" spans="1:10">
      <c r="A17" t="s">
        <v>943</v>
      </c>
      <c r="B17" t="s">
        <v>747</v>
      </c>
      <c r="D17" s="57">
        <v>0</v>
      </c>
      <c r="E17" s="57">
        <v>0</v>
      </c>
      <c r="F17" s="57">
        <v>252</v>
      </c>
      <c r="G17" s="57">
        <v>0</v>
      </c>
      <c r="H17" s="58">
        <v>0</v>
      </c>
      <c r="I17" s="58">
        <v>0</v>
      </c>
      <c r="J17" s="26">
        <v>0</v>
      </c>
    </row>
    <row r="18" spans="1:10">
      <c r="A18" t="s">
        <v>466</v>
      </c>
      <c r="B18" t="s">
        <v>27</v>
      </c>
      <c r="D18" s="58">
        <v>250</v>
      </c>
      <c r="E18" s="58">
        <v>0</v>
      </c>
      <c r="F18" s="58">
        <v>0</v>
      </c>
      <c r="G18" s="58">
        <v>0</v>
      </c>
      <c r="H18" s="58">
        <v>0</v>
      </c>
      <c r="I18" s="58">
        <v>0</v>
      </c>
      <c r="J18" s="26">
        <v>0</v>
      </c>
    </row>
    <row r="19" spans="1:10">
      <c r="A19" t="s">
        <v>948</v>
      </c>
      <c r="D19" s="58"/>
      <c r="E19" s="58"/>
      <c r="F19" s="58"/>
      <c r="G19" s="58"/>
      <c r="H19" s="58"/>
      <c r="I19" s="58"/>
      <c r="J19" s="26"/>
    </row>
    <row r="20" spans="1:10">
      <c r="A20" t="s">
        <v>945</v>
      </c>
      <c r="B20" t="s">
        <v>119</v>
      </c>
      <c r="D20" s="58">
        <v>0</v>
      </c>
      <c r="E20" s="58">
        <v>0</v>
      </c>
      <c r="F20" s="58">
        <v>42</v>
      </c>
      <c r="G20" s="58">
        <v>0</v>
      </c>
      <c r="H20" s="58">
        <v>0</v>
      </c>
      <c r="I20" s="58">
        <v>0</v>
      </c>
      <c r="J20" s="26">
        <v>0</v>
      </c>
    </row>
    <row r="21" spans="1:10">
      <c r="A21" t="s">
        <v>944</v>
      </c>
      <c r="B21" t="s">
        <v>195</v>
      </c>
      <c r="D21" s="58">
        <v>0</v>
      </c>
      <c r="E21" s="58">
        <v>0</v>
      </c>
      <c r="F21" s="58">
        <v>324</v>
      </c>
      <c r="G21" s="58">
        <v>0</v>
      </c>
      <c r="H21" s="58">
        <v>0</v>
      </c>
      <c r="I21" s="58">
        <v>0</v>
      </c>
      <c r="J21" s="26">
        <v>0</v>
      </c>
    </row>
    <row r="22" spans="1:10">
      <c r="A22" t="s">
        <v>186</v>
      </c>
      <c r="D22" s="58"/>
      <c r="E22" s="58"/>
      <c r="F22" s="58"/>
      <c r="G22" s="58"/>
      <c r="H22" s="58"/>
      <c r="I22" s="58"/>
      <c r="J22" s="26"/>
    </row>
    <row r="23" spans="1:10">
      <c r="A23" t="s">
        <v>467</v>
      </c>
      <c r="B23" t="s">
        <v>190</v>
      </c>
      <c r="D23" s="58">
        <v>50</v>
      </c>
      <c r="E23" s="58">
        <v>103.6</v>
      </c>
      <c r="F23" s="58">
        <v>65</v>
      </c>
      <c r="G23" s="58">
        <v>11</v>
      </c>
      <c r="H23" s="58">
        <v>50</v>
      </c>
      <c r="I23" s="58">
        <v>0</v>
      </c>
      <c r="J23" s="26">
        <v>0</v>
      </c>
    </row>
    <row r="24" spans="1:10">
      <c r="A24" t="s">
        <v>468</v>
      </c>
      <c r="B24" t="s">
        <v>191</v>
      </c>
      <c r="D24" s="57">
        <v>250</v>
      </c>
      <c r="E24" s="57">
        <v>42.6</v>
      </c>
      <c r="F24" s="57">
        <v>321</v>
      </c>
      <c r="G24" s="57">
        <v>397</v>
      </c>
      <c r="H24" s="58">
        <v>221</v>
      </c>
      <c r="I24" s="58">
        <v>94</v>
      </c>
      <c r="J24" s="26">
        <v>0</v>
      </c>
    </row>
    <row r="25" spans="1:10">
      <c r="A25" t="s">
        <v>180</v>
      </c>
      <c r="D25" s="58"/>
      <c r="E25" s="58"/>
      <c r="F25" s="58"/>
      <c r="G25" s="58"/>
      <c r="H25" s="58"/>
      <c r="I25" s="58"/>
      <c r="J25" s="26"/>
    </row>
    <row r="26" spans="1:10">
      <c r="A26" t="s">
        <v>469</v>
      </c>
      <c r="B26" t="s">
        <v>183</v>
      </c>
      <c r="D26" s="57">
        <v>225</v>
      </c>
      <c r="E26" s="57">
        <v>0</v>
      </c>
      <c r="F26" s="57">
        <v>0</v>
      </c>
      <c r="G26" s="57">
        <v>0</v>
      </c>
      <c r="H26" s="58">
        <v>215</v>
      </c>
      <c r="I26" s="58">
        <v>0</v>
      </c>
      <c r="J26" s="26">
        <v>0</v>
      </c>
    </row>
    <row r="27" spans="1:10">
      <c r="A27" t="s">
        <v>173</v>
      </c>
      <c r="D27" s="58"/>
      <c r="E27" s="58"/>
      <c r="F27" s="58"/>
      <c r="G27" s="58"/>
      <c r="H27" s="58"/>
      <c r="I27" s="58"/>
      <c r="J27" s="26"/>
    </row>
    <row r="28" spans="1:10">
      <c r="A28" t="s">
        <v>470</v>
      </c>
      <c r="B28" t="s">
        <v>115</v>
      </c>
      <c r="D28" s="58">
        <v>0</v>
      </c>
      <c r="E28" s="58">
        <v>0</v>
      </c>
      <c r="F28" s="58">
        <v>0</v>
      </c>
      <c r="G28" s="58">
        <v>0</v>
      </c>
      <c r="H28" s="58">
        <v>0</v>
      </c>
      <c r="I28" s="58">
        <v>0</v>
      </c>
      <c r="J28" s="26">
        <v>0</v>
      </c>
    </row>
    <row r="29" spans="1:10">
      <c r="A29" t="s">
        <v>151</v>
      </c>
      <c r="D29" s="58"/>
      <c r="E29" s="58"/>
      <c r="F29" s="58"/>
      <c r="G29" s="58"/>
      <c r="H29" s="58"/>
      <c r="I29" s="58"/>
      <c r="J29" s="26"/>
    </row>
    <row r="30" spans="1:10">
      <c r="A30" t="s">
        <v>471</v>
      </c>
      <c r="B30" t="s">
        <v>125</v>
      </c>
      <c r="D30" s="58">
        <v>1500</v>
      </c>
      <c r="E30" s="58">
        <v>0</v>
      </c>
      <c r="F30" s="58">
        <v>2583</v>
      </c>
      <c r="G30" s="58">
        <v>1404</v>
      </c>
      <c r="H30" s="58">
        <v>3340</v>
      </c>
      <c r="I30" s="58">
        <v>2865</v>
      </c>
      <c r="J30" s="26">
        <v>0</v>
      </c>
    </row>
    <row r="31" spans="1:10">
      <c r="A31" t="s">
        <v>148</v>
      </c>
      <c r="D31" s="58"/>
      <c r="E31" s="58"/>
      <c r="F31" s="58"/>
      <c r="G31" s="58"/>
      <c r="H31" s="58"/>
      <c r="I31" s="58"/>
      <c r="J31" s="26"/>
    </row>
    <row r="32" spans="1:10">
      <c r="A32" t="s">
        <v>472</v>
      </c>
      <c r="B32" t="s">
        <v>149</v>
      </c>
      <c r="D32" s="58"/>
      <c r="E32" s="58"/>
      <c r="F32" s="58"/>
      <c r="G32" s="58"/>
      <c r="H32" s="58"/>
      <c r="I32" s="58"/>
      <c r="J32" s="26"/>
    </row>
    <row r="33" spans="1:10">
      <c r="A33" t="s">
        <v>141</v>
      </c>
      <c r="D33" s="58"/>
      <c r="E33" s="58"/>
      <c r="F33" s="58"/>
      <c r="G33" s="58"/>
      <c r="H33" s="58"/>
      <c r="I33" s="58"/>
      <c r="J33" s="26"/>
    </row>
    <row r="34" spans="1:10">
      <c r="A34" s="19" t="s">
        <v>749</v>
      </c>
      <c r="B34" s="19" t="s">
        <v>750</v>
      </c>
      <c r="D34" s="58">
        <v>500</v>
      </c>
      <c r="E34" s="58">
        <v>30</v>
      </c>
      <c r="F34" s="58">
        <v>75</v>
      </c>
      <c r="G34" s="58">
        <v>0</v>
      </c>
      <c r="H34" s="58">
        <v>476</v>
      </c>
      <c r="I34" s="58">
        <v>1008</v>
      </c>
      <c r="J34" s="26">
        <v>0</v>
      </c>
    </row>
    <row r="35" spans="1:10">
      <c r="A35" s="19" t="s">
        <v>748</v>
      </c>
      <c r="B35" s="19" t="s">
        <v>735</v>
      </c>
      <c r="D35" s="57">
        <v>2500</v>
      </c>
      <c r="E35" s="57">
        <v>2500</v>
      </c>
      <c r="F35" s="57">
        <v>5389</v>
      </c>
      <c r="G35" s="57">
        <v>1984</v>
      </c>
      <c r="H35" s="58">
        <v>1972</v>
      </c>
      <c r="I35" s="58">
        <v>120</v>
      </c>
      <c r="J35" s="26">
        <v>0</v>
      </c>
    </row>
    <row r="36" spans="1:10">
      <c r="A36" s="41" t="s">
        <v>891</v>
      </c>
      <c r="B36" s="41" t="s">
        <v>741</v>
      </c>
      <c r="D36" s="58">
        <v>0</v>
      </c>
      <c r="E36" s="58">
        <v>120</v>
      </c>
      <c r="F36" s="58">
        <v>0</v>
      </c>
      <c r="G36" s="58">
        <v>46</v>
      </c>
      <c r="H36" s="58">
        <v>160</v>
      </c>
      <c r="I36" s="58">
        <v>7</v>
      </c>
      <c r="J36" s="26">
        <v>0</v>
      </c>
    </row>
    <row r="37" spans="1:10">
      <c r="A37" t="s">
        <v>473</v>
      </c>
      <c r="B37" t="s">
        <v>142</v>
      </c>
      <c r="D37" s="58">
        <v>500</v>
      </c>
      <c r="E37" s="58">
        <v>0</v>
      </c>
      <c r="F37" s="58">
        <v>88</v>
      </c>
      <c r="G37" s="58">
        <v>0</v>
      </c>
      <c r="H37" s="49">
        <v>165</v>
      </c>
      <c r="I37" s="58">
        <v>629</v>
      </c>
      <c r="J37" s="26">
        <v>0</v>
      </c>
    </row>
    <row r="38" spans="1:10">
      <c r="A38" t="s">
        <v>474</v>
      </c>
      <c r="B38" t="s">
        <v>145</v>
      </c>
      <c r="D38" s="58">
        <v>0</v>
      </c>
      <c r="E38" s="58">
        <v>225.44</v>
      </c>
      <c r="F38" s="58">
        <v>0</v>
      </c>
      <c r="G38" s="58">
        <v>0</v>
      </c>
      <c r="H38" s="58">
        <v>0</v>
      </c>
      <c r="I38" s="58">
        <v>0</v>
      </c>
      <c r="J38" s="26">
        <v>0</v>
      </c>
    </row>
    <row r="39" spans="1:10">
      <c r="D39" s="12"/>
      <c r="E39" s="58"/>
      <c r="F39" s="58"/>
      <c r="G39" s="58"/>
      <c r="H39" s="58"/>
      <c r="I39" s="58"/>
      <c r="J39" s="26"/>
    </row>
    <row r="40" spans="1:10">
      <c r="B40" s="38" t="s">
        <v>77</v>
      </c>
      <c r="D40" s="12">
        <f>SUM(D4:D38)</f>
        <v>17022.07</v>
      </c>
      <c r="E40" s="57">
        <f t="shared" ref="E40:J40" si="0">SUM(E4:E39)</f>
        <v>10366.660000000002</v>
      </c>
      <c r="F40" s="57">
        <f t="shared" si="0"/>
        <v>33148</v>
      </c>
      <c r="G40" s="57">
        <f t="shared" si="0"/>
        <v>19360</v>
      </c>
      <c r="H40" s="58">
        <f t="shared" si="0"/>
        <v>21358.273999999998</v>
      </c>
      <c r="I40" s="57">
        <f t="shared" si="0"/>
        <v>15286</v>
      </c>
      <c r="J40" s="26">
        <f t="shared" si="0"/>
        <v>8957</v>
      </c>
    </row>
    <row r="42" spans="1:10">
      <c r="A42" s="19"/>
    </row>
  </sheetData>
  <phoneticPr fontId="2" type="noConversion"/>
  <pageMargins left="0.25" right="0.25" top="0.75" bottom="0.75" header="0.3" footer="0.3"/>
  <pageSetup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dimension ref="A1:L34"/>
  <sheetViews>
    <sheetView workbookViewId="0">
      <selection activeCell="B32" sqref="B32"/>
    </sheetView>
  </sheetViews>
  <sheetFormatPr defaultRowHeight="12.75"/>
  <cols>
    <col min="1" max="1" width="18.28515625" customWidth="1"/>
    <col min="2" max="2" width="27.42578125" customWidth="1"/>
    <col min="3" max="3" width="5.7109375" customWidth="1"/>
    <col min="4" max="7" width="10.7109375" customWidth="1"/>
    <col min="8" max="8" width="10.28515625" customWidth="1"/>
    <col min="9" max="9" width="10.28515625" bestFit="1" customWidth="1"/>
    <col min="10" max="11" width="10.7109375" customWidth="1"/>
  </cols>
  <sheetData>
    <row r="1" spans="1:11" ht="15.75">
      <c r="B1" s="20" t="s">
        <v>807</v>
      </c>
      <c r="D1" s="21">
        <v>2013</v>
      </c>
      <c r="E1" s="74">
        <v>2012</v>
      </c>
      <c r="F1" s="74">
        <v>2012</v>
      </c>
      <c r="G1" s="74">
        <v>2011</v>
      </c>
      <c r="H1" s="24">
        <v>2010</v>
      </c>
      <c r="I1" s="74">
        <v>2009</v>
      </c>
      <c r="J1" s="24">
        <v>2008</v>
      </c>
      <c r="K1" s="24">
        <v>2007</v>
      </c>
    </row>
    <row r="2" spans="1:11">
      <c r="D2" s="24" t="s">
        <v>676</v>
      </c>
      <c r="E2" s="110" t="s">
        <v>677</v>
      </c>
      <c r="F2" s="74" t="s">
        <v>676</v>
      </c>
      <c r="G2" s="74" t="s">
        <v>676</v>
      </c>
      <c r="H2" s="74" t="s">
        <v>917</v>
      </c>
      <c r="I2" s="74" t="s">
        <v>677</v>
      </c>
      <c r="J2" s="25" t="s">
        <v>677</v>
      </c>
      <c r="K2" s="25" t="s">
        <v>677</v>
      </c>
    </row>
    <row r="3" spans="1:11">
      <c r="A3" s="41" t="s">
        <v>106</v>
      </c>
      <c r="H3" s="24"/>
      <c r="I3" s="2"/>
      <c r="J3" s="25"/>
      <c r="K3" s="25"/>
    </row>
    <row r="4" spans="1:11">
      <c r="A4" s="41" t="s">
        <v>817</v>
      </c>
      <c r="B4" s="41" t="s">
        <v>35</v>
      </c>
      <c r="D4" s="44">
        <v>7800</v>
      </c>
      <c r="E4" s="44">
        <v>7820.25</v>
      </c>
      <c r="F4" s="44">
        <v>8396</v>
      </c>
      <c r="G4" s="44">
        <v>6500</v>
      </c>
      <c r="H4" s="44">
        <v>8396</v>
      </c>
      <c r="I4" s="47">
        <v>5944</v>
      </c>
      <c r="J4" s="32">
        <f>SUM('General Fund Revenues'!I35)</f>
        <v>5973</v>
      </c>
      <c r="K4" s="32">
        <f>SUM('General Fund Revenues'!J35)</f>
        <v>6911</v>
      </c>
    </row>
    <row r="5" spans="1:11">
      <c r="D5" s="24"/>
      <c r="E5" s="24"/>
      <c r="F5" s="24"/>
      <c r="G5" s="24"/>
      <c r="H5" s="24"/>
      <c r="I5" s="2"/>
      <c r="J5" s="32"/>
      <c r="K5" s="32"/>
    </row>
    <row r="6" spans="1:11">
      <c r="B6" s="45" t="s">
        <v>77</v>
      </c>
      <c r="D6" s="46">
        <f t="shared" ref="D6" si="0">SUM(D4:D5)</f>
        <v>7800</v>
      </c>
      <c r="E6" s="46">
        <v>3794</v>
      </c>
      <c r="F6" s="46">
        <f t="shared" ref="F6:K6" si="1">SUM(F4:F5)</f>
        <v>8396</v>
      </c>
      <c r="G6" s="46">
        <f t="shared" si="1"/>
        <v>6500</v>
      </c>
      <c r="H6" s="46">
        <f t="shared" si="1"/>
        <v>8396</v>
      </c>
      <c r="I6" s="48">
        <f t="shared" si="1"/>
        <v>5944</v>
      </c>
      <c r="J6" s="32">
        <f t="shared" si="1"/>
        <v>5973</v>
      </c>
      <c r="K6" s="32">
        <f t="shared" si="1"/>
        <v>6911</v>
      </c>
    </row>
    <row r="7" spans="1:11">
      <c r="A7" t="s">
        <v>108</v>
      </c>
      <c r="D7" s="24"/>
      <c r="E7" s="24"/>
      <c r="F7" s="24"/>
      <c r="G7" s="24"/>
      <c r="H7" s="24"/>
      <c r="I7" s="2"/>
      <c r="J7" s="25"/>
      <c r="K7" s="25"/>
    </row>
    <row r="8" spans="1:11">
      <c r="A8" t="s">
        <v>253</v>
      </c>
      <c r="I8" s="1"/>
    </row>
    <row r="9" spans="1:11">
      <c r="A9" s="41" t="s">
        <v>808</v>
      </c>
      <c r="B9" t="s">
        <v>63</v>
      </c>
      <c r="D9" s="12">
        <v>3650</v>
      </c>
      <c r="E9" s="12">
        <v>6324.15</v>
      </c>
      <c r="F9" s="12">
        <f>3157*103.5%</f>
        <v>3267.4949999999999</v>
      </c>
      <c r="G9" s="12">
        <f>3050*103.5%</f>
        <v>3156.7499999999995</v>
      </c>
      <c r="H9" s="12">
        <v>4495</v>
      </c>
      <c r="I9" s="12">
        <v>3488</v>
      </c>
      <c r="J9" s="12">
        <v>3056</v>
      </c>
      <c r="K9" s="26">
        <v>1276</v>
      </c>
    </row>
    <row r="10" spans="1:11">
      <c r="A10" t="s">
        <v>249</v>
      </c>
      <c r="D10" s="12"/>
      <c r="E10" s="12"/>
      <c r="F10" s="12"/>
      <c r="G10" s="12"/>
      <c r="H10" s="12"/>
      <c r="I10" s="12"/>
      <c r="J10" s="12"/>
      <c r="K10" s="26"/>
    </row>
    <row r="11" spans="1:11">
      <c r="A11" s="41" t="s">
        <v>809</v>
      </c>
      <c r="B11" t="s">
        <v>111</v>
      </c>
      <c r="D11" s="12">
        <f>0.062*D9</f>
        <v>226.3</v>
      </c>
      <c r="E11" s="12">
        <v>392.1</v>
      </c>
      <c r="F11" s="12">
        <f>0.062*F9</f>
        <v>202.58468999999999</v>
      </c>
      <c r="G11" s="12">
        <f>0.062*G9</f>
        <v>195.71849999999998</v>
      </c>
      <c r="H11" s="12">
        <f>0.062*H9</f>
        <v>278.69</v>
      </c>
      <c r="I11" s="12">
        <f>0.062*I9</f>
        <v>216.256</v>
      </c>
      <c r="J11" s="12">
        <v>190</v>
      </c>
      <c r="K11" s="26">
        <v>79</v>
      </c>
    </row>
    <row r="12" spans="1:11">
      <c r="A12" s="41" t="s">
        <v>810</v>
      </c>
      <c r="B12" t="s">
        <v>113</v>
      </c>
      <c r="D12" s="12">
        <f>0.0145*D9</f>
        <v>52.925000000000004</v>
      </c>
      <c r="E12" s="12">
        <v>91.7</v>
      </c>
      <c r="F12" s="12">
        <f>0.0145*F9</f>
        <v>47.378677500000002</v>
      </c>
      <c r="G12" s="12">
        <f>0.0145*G9</f>
        <v>45.772874999999999</v>
      </c>
      <c r="H12" s="12">
        <f>0.0145*H9</f>
        <v>65.177500000000009</v>
      </c>
      <c r="I12" s="12">
        <v>51</v>
      </c>
      <c r="J12" s="12">
        <v>44</v>
      </c>
      <c r="K12" s="26">
        <v>18</v>
      </c>
    </row>
    <row r="13" spans="1:11">
      <c r="A13" t="s">
        <v>44</v>
      </c>
      <c r="D13" s="12"/>
      <c r="E13" s="12"/>
      <c r="F13" s="12"/>
      <c r="G13" s="12"/>
      <c r="H13" s="12"/>
      <c r="I13" s="12"/>
      <c r="J13" s="12"/>
      <c r="K13" s="26"/>
    </row>
    <row r="14" spans="1:11">
      <c r="A14" s="41" t="s">
        <v>811</v>
      </c>
      <c r="B14" t="s">
        <v>57</v>
      </c>
      <c r="D14" s="12">
        <v>435</v>
      </c>
      <c r="E14" s="12">
        <v>0</v>
      </c>
      <c r="F14" s="12">
        <v>435</v>
      </c>
      <c r="G14" s="12">
        <v>435</v>
      </c>
      <c r="H14" s="12">
        <v>0</v>
      </c>
      <c r="I14" s="12">
        <v>0</v>
      </c>
      <c r="J14" s="12">
        <v>64</v>
      </c>
      <c r="K14" s="26">
        <v>148</v>
      </c>
    </row>
    <row r="15" spans="1:11">
      <c r="A15" t="s">
        <v>208</v>
      </c>
      <c r="D15" s="12"/>
      <c r="E15" s="12"/>
      <c r="F15" s="12"/>
      <c r="G15" s="12"/>
      <c r="H15" s="12"/>
      <c r="I15" s="12"/>
      <c r="J15" s="12"/>
      <c r="K15" s="26"/>
    </row>
    <row r="16" spans="1:11">
      <c r="A16" s="41" t="s">
        <v>812</v>
      </c>
      <c r="B16" t="s">
        <v>699</v>
      </c>
      <c r="D16" s="12">
        <v>0</v>
      </c>
      <c r="E16" s="12">
        <v>136.99</v>
      </c>
      <c r="F16" s="12">
        <v>0</v>
      </c>
      <c r="G16" s="12">
        <v>0</v>
      </c>
      <c r="H16" s="12">
        <v>0</v>
      </c>
      <c r="I16" s="12">
        <v>163</v>
      </c>
      <c r="J16" s="12">
        <v>0</v>
      </c>
      <c r="K16" s="26">
        <v>1995</v>
      </c>
    </row>
    <row r="17" spans="1:12">
      <c r="A17" s="41" t="s">
        <v>9</v>
      </c>
      <c r="D17" s="12"/>
      <c r="E17" s="12"/>
      <c r="F17" s="12"/>
      <c r="G17" s="12"/>
      <c r="H17" s="12"/>
      <c r="I17" s="12"/>
      <c r="J17" s="12"/>
      <c r="K17" s="26"/>
    </row>
    <row r="18" spans="1:12">
      <c r="A18" s="41" t="s">
        <v>985</v>
      </c>
      <c r="B18" s="41" t="s">
        <v>986</v>
      </c>
      <c r="D18" s="12">
        <v>0</v>
      </c>
      <c r="E18" s="12">
        <v>736</v>
      </c>
      <c r="F18" s="12">
        <v>0</v>
      </c>
      <c r="G18" s="12">
        <v>0</v>
      </c>
      <c r="H18" s="12">
        <v>0</v>
      </c>
      <c r="I18" s="12">
        <v>0</v>
      </c>
      <c r="J18" s="12">
        <v>0</v>
      </c>
      <c r="K18" s="26">
        <v>0</v>
      </c>
    </row>
    <row r="19" spans="1:12">
      <c r="A19" s="41" t="s">
        <v>890</v>
      </c>
      <c r="B19" s="41" t="s">
        <v>125</v>
      </c>
      <c r="D19" s="12">
        <v>0</v>
      </c>
      <c r="E19" s="12">
        <v>0</v>
      </c>
      <c r="F19" s="12">
        <v>0</v>
      </c>
      <c r="G19" s="12">
        <v>0</v>
      </c>
      <c r="H19" s="12">
        <v>0</v>
      </c>
      <c r="I19" s="12">
        <v>75</v>
      </c>
      <c r="J19" s="12">
        <v>0</v>
      </c>
      <c r="K19" s="26">
        <v>0</v>
      </c>
    </row>
    <row r="20" spans="1:12">
      <c r="A20" s="41" t="s">
        <v>982</v>
      </c>
      <c r="B20" s="41" t="s">
        <v>195</v>
      </c>
      <c r="D20" s="12">
        <v>0</v>
      </c>
      <c r="E20" s="12">
        <v>166.1</v>
      </c>
      <c r="F20" s="12">
        <v>0</v>
      </c>
      <c r="G20" s="12">
        <v>0</v>
      </c>
      <c r="H20" s="12">
        <v>0</v>
      </c>
      <c r="I20" s="12">
        <v>0</v>
      </c>
      <c r="J20" s="12">
        <v>0</v>
      </c>
      <c r="K20" s="26">
        <v>0</v>
      </c>
    </row>
    <row r="21" spans="1:12">
      <c r="A21" t="s">
        <v>667</v>
      </c>
      <c r="D21" s="12"/>
      <c r="E21" s="12"/>
      <c r="F21" s="12"/>
      <c r="G21" s="12"/>
      <c r="H21" s="12"/>
      <c r="I21" s="12"/>
      <c r="J21" s="12"/>
      <c r="K21" s="26"/>
    </row>
    <row r="22" spans="1:12">
      <c r="A22" s="41" t="s">
        <v>813</v>
      </c>
      <c r="B22" t="s">
        <v>693</v>
      </c>
      <c r="D22" s="12">
        <v>0</v>
      </c>
      <c r="E22" s="12">
        <v>0</v>
      </c>
      <c r="F22" s="12">
        <v>0</v>
      </c>
      <c r="G22" s="12">
        <v>0</v>
      </c>
      <c r="H22" s="12">
        <v>0</v>
      </c>
      <c r="I22" s="12">
        <v>0</v>
      </c>
      <c r="J22" s="12">
        <v>64</v>
      </c>
      <c r="K22" s="26">
        <v>1689</v>
      </c>
    </row>
    <row r="23" spans="1:12">
      <c r="A23" s="41" t="s">
        <v>814</v>
      </c>
      <c r="B23" t="s">
        <v>153</v>
      </c>
      <c r="D23" s="12">
        <f>2667+769</f>
        <v>3436</v>
      </c>
      <c r="E23" s="12">
        <v>0</v>
      </c>
      <c r="F23" s="12">
        <v>2667</v>
      </c>
      <c r="G23" s="12">
        <v>2667</v>
      </c>
      <c r="H23" s="12">
        <v>3557</v>
      </c>
      <c r="I23" s="12">
        <v>1349</v>
      </c>
      <c r="J23" s="12">
        <v>104</v>
      </c>
      <c r="K23" s="26">
        <v>0</v>
      </c>
    </row>
    <row r="24" spans="1:12">
      <c r="A24" t="s">
        <v>141</v>
      </c>
      <c r="D24" s="12"/>
      <c r="E24" s="12"/>
      <c r="F24" s="12"/>
      <c r="G24" s="12"/>
      <c r="H24" s="12"/>
      <c r="I24" s="12"/>
      <c r="J24" s="12"/>
      <c r="K24" s="12"/>
    </row>
    <row r="25" spans="1:12">
      <c r="A25" s="41" t="s">
        <v>983</v>
      </c>
      <c r="B25" s="41" t="s">
        <v>984</v>
      </c>
      <c r="D25" s="12">
        <v>0</v>
      </c>
      <c r="E25" s="12">
        <v>70.78</v>
      </c>
      <c r="F25" s="12">
        <v>0</v>
      </c>
      <c r="G25" s="12">
        <v>0</v>
      </c>
      <c r="H25" s="12">
        <v>0</v>
      </c>
      <c r="I25" s="12">
        <v>0</v>
      </c>
      <c r="J25" s="12">
        <v>0</v>
      </c>
      <c r="K25" s="12">
        <v>0</v>
      </c>
    </row>
    <row r="26" spans="1:12">
      <c r="A26" s="41" t="s">
        <v>815</v>
      </c>
      <c r="B26" t="s">
        <v>741</v>
      </c>
      <c r="D26" s="12">
        <v>0</v>
      </c>
      <c r="E26" s="12">
        <v>0</v>
      </c>
      <c r="F26" s="12">
        <v>0</v>
      </c>
      <c r="G26" s="12">
        <v>0</v>
      </c>
      <c r="H26" s="12">
        <v>0</v>
      </c>
      <c r="I26" s="12">
        <v>0</v>
      </c>
      <c r="J26" s="12">
        <v>160</v>
      </c>
      <c r="K26" s="12">
        <v>0</v>
      </c>
    </row>
    <row r="27" spans="1:12">
      <c r="A27" s="41" t="s">
        <v>816</v>
      </c>
      <c r="B27" t="s">
        <v>804</v>
      </c>
      <c r="D27" s="12">
        <v>0</v>
      </c>
      <c r="E27" s="12">
        <v>0</v>
      </c>
      <c r="F27" s="12">
        <v>0</v>
      </c>
      <c r="G27" s="12">
        <v>0</v>
      </c>
      <c r="H27" s="12">
        <v>0</v>
      </c>
      <c r="I27" s="12">
        <v>40</v>
      </c>
      <c r="J27" s="58">
        <v>77</v>
      </c>
      <c r="K27" s="12">
        <v>0</v>
      </c>
    </row>
    <row r="28" spans="1:12">
      <c r="A28" s="41" t="s">
        <v>981</v>
      </c>
      <c r="B28" s="41" t="s">
        <v>735</v>
      </c>
      <c r="D28" s="12">
        <v>0</v>
      </c>
      <c r="E28" s="12">
        <v>110</v>
      </c>
      <c r="F28" s="12">
        <v>0</v>
      </c>
      <c r="G28" s="12">
        <v>0</v>
      </c>
      <c r="H28" s="12">
        <v>0</v>
      </c>
      <c r="I28" s="12">
        <v>0</v>
      </c>
      <c r="J28" s="58">
        <v>0</v>
      </c>
      <c r="K28" s="12">
        <v>0</v>
      </c>
    </row>
    <row r="29" spans="1:12">
      <c r="B29" s="38" t="s">
        <v>77</v>
      </c>
      <c r="D29" s="12">
        <f>SUM(D9:D28)</f>
        <v>7800.2250000000004</v>
      </c>
      <c r="E29" s="12">
        <f>SUM(E9:E28)</f>
        <v>8027.82</v>
      </c>
      <c r="F29" s="12">
        <f>SUM(F9:F28)</f>
        <v>6619.4583674999994</v>
      </c>
      <c r="G29" s="12">
        <f>SUM(G9:G26)</f>
        <v>6500.2413749999996</v>
      </c>
      <c r="H29" s="12">
        <f>SUM(H9:H28)</f>
        <v>8395.8675000000003</v>
      </c>
      <c r="I29" s="12">
        <f>SUM(I9:I27)</f>
        <v>5382.2559999999994</v>
      </c>
      <c r="J29" s="57">
        <f>SUM(J9:J28)</f>
        <v>3759</v>
      </c>
      <c r="K29" s="26">
        <f>SUM(K9:K27)</f>
        <v>5205</v>
      </c>
    </row>
    <row r="31" spans="1:12">
      <c r="A31" s="19"/>
      <c r="L31" s="41"/>
    </row>
    <row r="32" spans="1:12">
      <c r="B32" s="41"/>
      <c r="E32" s="12"/>
      <c r="F32" s="19"/>
      <c r="G32" s="19"/>
    </row>
    <row r="33" spans="6:7">
      <c r="F33" s="19"/>
      <c r="G33" s="19"/>
    </row>
    <row r="34" spans="6:7">
      <c r="F34" s="37"/>
      <c r="G34" s="37"/>
    </row>
  </sheetData>
  <phoneticPr fontId="2" type="noConversion"/>
  <pageMargins left="0.25" right="0.25" top="0.75" bottom="0.75" header="0.3" footer="0.3"/>
  <pageSetup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L91"/>
  <sheetViews>
    <sheetView topLeftCell="A58" zoomScaleNormal="100" workbookViewId="0">
      <selection activeCell="A82" sqref="A82:XFD83"/>
    </sheetView>
  </sheetViews>
  <sheetFormatPr defaultRowHeight="12.75"/>
  <cols>
    <col min="1" max="1" width="18.42578125" customWidth="1"/>
    <col min="2" max="2" width="27.42578125" customWidth="1"/>
    <col min="3" max="3" width="6.7109375" customWidth="1"/>
    <col min="4" max="6" width="11.7109375" customWidth="1"/>
    <col min="7" max="8" width="11.28515625" style="41" customWidth="1"/>
    <col min="9" max="10" width="11.28515625" customWidth="1"/>
  </cols>
  <sheetData>
    <row r="1" spans="1:10" ht="15.75">
      <c r="B1" s="20" t="s">
        <v>1</v>
      </c>
      <c r="D1" s="21">
        <v>2013</v>
      </c>
      <c r="E1" s="109">
        <v>2012</v>
      </c>
      <c r="F1" s="74">
        <v>2011</v>
      </c>
      <c r="G1" s="74">
        <v>2010</v>
      </c>
      <c r="H1" s="74">
        <v>2009</v>
      </c>
      <c r="I1" s="24">
        <v>2008</v>
      </c>
      <c r="J1" s="24">
        <v>2007</v>
      </c>
    </row>
    <row r="2" spans="1:10">
      <c r="A2" t="s">
        <v>55</v>
      </c>
      <c r="D2" s="24" t="s">
        <v>676</v>
      </c>
      <c r="E2" s="74" t="s">
        <v>677</v>
      </c>
      <c r="F2" s="74" t="s">
        <v>677</v>
      </c>
      <c r="G2" s="74" t="s">
        <v>677</v>
      </c>
      <c r="H2" s="74" t="s">
        <v>677</v>
      </c>
      <c r="I2" s="25" t="s">
        <v>677</v>
      </c>
      <c r="J2" s="25" t="s">
        <v>677</v>
      </c>
    </row>
    <row r="3" spans="1:10">
      <c r="I3" s="12"/>
      <c r="J3" s="12"/>
    </row>
    <row r="4" spans="1:10">
      <c r="A4" s="19" t="s">
        <v>774</v>
      </c>
      <c r="B4" s="19" t="s">
        <v>775</v>
      </c>
      <c r="D4" s="26">
        <v>0</v>
      </c>
      <c r="E4" s="12">
        <v>150</v>
      </c>
      <c r="F4" s="12">
        <v>150</v>
      </c>
      <c r="G4" s="111">
        <v>0</v>
      </c>
      <c r="H4" s="60">
        <v>300</v>
      </c>
      <c r="I4" s="12">
        <v>1200</v>
      </c>
      <c r="J4" s="12">
        <v>450</v>
      </c>
    </row>
    <row r="5" spans="1:10">
      <c r="A5" s="19" t="s">
        <v>776</v>
      </c>
      <c r="B5" t="s">
        <v>645</v>
      </c>
      <c r="D5" s="60">
        <f>1261634*109%</f>
        <v>1375181.06</v>
      </c>
      <c r="E5" s="60">
        <v>1518848.52</v>
      </c>
      <c r="F5" s="60">
        <v>1261634</v>
      </c>
      <c r="G5" s="60">
        <v>1273805</v>
      </c>
      <c r="H5" s="60">
        <v>1173665</v>
      </c>
      <c r="I5" s="12">
        <f>1185187+238</f>
        <v>1185425</v>
      </c>
      <c r="J5" s="12">
        <v>1260352</v>
      </c>
    </row>
    <row r="6" spans="1:10">
      <c r="A6" t="s">
        <v>213</v>
      </c>
      <c r="B6" t="s">
        <v>29</v>
      </c>
      <c r="D6" s="58">
        <f>7062*109%</f>
        <v>7697.5800000000008</v>
      </c>
      <c r="E6" s="58">
        <v>5607.25</v>
      </c>
      <c r="F6" s="58">
        <f>1087+5316+659</f>
        <v>7062</v>
      </c>
      <c r="G6" s="60">
        <v>4305</v>
      </c>
      <c r="H6" s="60">
        <v>4671</v>
      </c>
      <c r="I6" s="12">
        <v>3565</v>
      </c>
      <c r="J6" s="12">
        <v>2998</v>
      </c>
    </row>
    <row r="7" spans="1:10">
      <c r="A7" s="41" t="s">
        <v>997</v>
      </c>
      <c r="B7" s="41" t="s">
        <v>645</v>
      </c>
      <c r="D7" s="58">
        <v>0</v>
      </c>
      <c r="E7" s="58">
        <v>1536.38</v>
      </c>
      <c r="F7" s="58">
        <v>0</v>
      </c>
      <c r="G7" s="60">
        <v>0</v>
      </c>
      <c r="H7" s="60">
        <v>0</v>
      </c>
      <c r="I7" s="12">
        <v>0</v>
      </c>
      <c r="J7" s="12">
        <v>0</v>
      </c>
    </row>
    <row r="8" spans="1:10">
      <c r="A8" s="41" t="s">
        <v>998</v>
      </c>
      <c r="B8" s="41" t="s">
        <v>999</v>
      </c>
      <c r="D8" s="58">
        <v>0</v>
      </c>
      <c r="E8" s="58">
        <v>1535.53</v>
      </c>
      <c r="F8" s="58">
        <v>0</v>
      </c>
      <c r="G8" s="60">
        <v>0</v>
      </c>
      <c r="H8" s="60">
        <v>0</v>
      </c>
      <c r="I8" s="12">
        <v>0</v>
      </c>
      <c r="J8" s="12">
        <v>0</v>
      </c>
    </row>
    <row r="9" spans="1:10">
      <c r="A9" t="s">
        <v>834</v>
      </c>
      <c r="B9" t="s">
        <v>214</v>
      </c>
      <c r="D9" s="60">
        <v>21000</v>
      </c>
      <c r="E9" s="60">
        <v>25</v>
      </c>
      <c r="F9" s="60">
        <f>1147-10</f>
        <v>1137</v>
      </c>
      <c r="G9" s="60">
        <f>712+17</f>
        <v>729</v>
      </c>
      <c r="H9" s="60">
        <f>1003+201+50</f>
        <v>1254</v>
      </c>
      <c r="I9" s="12">
        <v>466</v>
      </c>
      <c r="J9" s="12">
        <f>128+713+90+66</f>
        <v>997</v>
      </c>
    </row>
    <row r="10" spans="1:10">
      <c r="A10" s="41" t="s">
        <v>1000</v>
      </c>
      <c r="B10" s="41" t="s">
        <v>1001</v>
      </c>
      <c r="D10" s="60">
        <v>0</v>
      </c>
      <c r="E10" s="60">
        <v>15</v>
      </c>
      <c r="F10" s="60">
        <v>0</v>
      </c>
      <c r="G10" s="60">
        <v>0</v>
      </c>
      <c r="H10" s="60">
        <v>0</v>
      </c>
      <c r="I10" s="12">
        <v>0</v>
      </c>
      <c r="J10" s="12">
        <v>0</v>
      </c>
    </row>
    <row r="11" spans="1:10">
      <c r="A11" s="19" t="s">
        <v>777</v>
      </c>
      <c r="B11" s="41" t="s">
        <v>1003</v>
      </c>
      <c r="D11" s="60">
        <v>20000</v>
      </c>
      <c r="E11" s="60">
        <v>17142.36</v>
      </c>
      <c r="F11" s="60">
        <v>19570</v>
      </c>
      <c r="G11" s="60">
        <v>17393</v>
      </c>
      <c r="H11" s="60">
        <f>13707+7526</f>
        <v>21233</v>
      </c>
      <c r="I11" s="58">
        <v>12147</v>
      </c>
      <c r="J11" s="12">
        <v>13338</v>
      </c>
    </row>
    <row r="12" spans="1:10">
      <c r="A12" s="41" t="s">
        <v>1002</v>
      </c>
      <c r="B12" s="41" t="s">
        <v>968</v>
      </c>
      <c r="D12" s="60">
        <v>0</v>
      </c>
      <c r="E12" s="60">
        <v>417.96</v>
      </c>
      <c r="F12" s="60">
        <v>0</v>
      </c>
      <c r="G12" s="60">
        <v>0</v>
      </c>
      <c r="H12" s="60">
        <v>0</v>
      </c>
      <c r="I12" s="58">
        <v>0</v>
      </c>
      <c r="J12" s="12">
        <v>0</v>
      </c>
    </row>
    <row r="13" spans="1:10">
      <c r="D13" s="58"/>
      <c r="E13" s="58"/>
      <c r="F13" s="58"/>
      <c r="G13" s="60"/>
      <c r="H13" s="60"/>
      <c r="I13" s="58"/>
      <c r="J13" s="12"/>
    </row>
    <row r="14" spans="1:10">
      <c r="B14" s="38" t="s">
        <v>77</v>
      </c>
      <c r="D14" s="60">
        <f>SUM(D4:D12)</f>
        <v>1423878.6400000001</v>
      </c>
      <c r="E14" s="60">
        <f>SUM(E4:E12)</f>
        <v>1545278</v>
      </c>
      <c r="F14" s="60">
        <f>SUM(F4:F12)</f>
        <v>1289553</v>
      </c>
      <c r="G14" s="60">
        <f>SUM(G4:G12)</f>
        <v>1296232</v>
      </c>
      <c r="H14" s="60">
        <f>SUM(H4:H13)</f>
        <v>1201123</v>
      </c>
      <c r="I14" s="57">
        <f>SUM(I4:I13)</f>
        <v>1202803</v>
      </c>
      <c r="J14" s="12">
        <f>SUM(J4:J13)</f>
        <v>1278135</v>
      </c>
    </row>
    <row r="15" spans="1:10">
      <c r="A15" t="s">
        <v>108</v>
      </c>
      <c r="D15" s="49"/>
      <c r="E15" s="49"/>
      <c r="F15" s="49"/>
      <c r="G15" s="73"/>
      <c r="H15" s="73"/>
      <c r="I15" s="58"/>
      <c r="J15" s="12"/>
    </row>
    <row r="16" spans="1:10">
      <c r="A16" t="s">
        <v>253</v>
      </c>
      <c r="D16" s="49"/>
      <c r="E16" s="49"/>
      <c r="F16" s="49"/>
      <c r="G16" s="73"/>
      <c r="H16" s="73"/>
      <c r="I16" s="58"/>
      <c r="J16" s="12"/>
    </row>
    <row r="17" spans="1:10">
      <c r="A17" t="s">
        <v>475</v>
      </c>
      <c r="B17" t="s">
        <v>129</v>
      </c>
      <c r="D17" s="58">
        <f>59530*102.5%+((33426/2)+16952+17930)*102%</f>
        <v>113645.15</v>
      </c>
      <c r="E17" s="58">
        <v>96610.19</v>
      </c>
      <c r="F17" s="58">
        <f>87+82414</f>
        <v>82501</v>
      </c>
      <c r="G17" s="60">
        <v>76035</v>
      </c>
      <c r="H17" s="60">
        <v>74510</v>
      </c>
      <c r="I17" s="58">
        <v>71996</v>
      </c>
      <c r="J17" s="12">
        <v>69321</v>
      </c>
    </row>
    <row r="18" spans="1:10">
      <c r="A18" t="s">
        <v>476</v>
      </c>
      <c r="B18" t="s">
        <v>130</v>
      </c>
      <c r="D18" s="58">
        <v>250</v>
      </c>
      <c r="E18" s="58">
        <v>350.09</v>
      </c>
      <c r="F18" s="58">
        <v>53</v>
      </c>
      <c r="G18" s="60">
        <v>0</v>
      </c>
      <c r="H18" s="60">
        <v>0</v>
      </c>
      <c r="I18" s="58">
        <v>0</v>
      </c>
      <c r="J18" s="12">
        <v>0</v>
      </c>
    </row>
    <row r="19" spans="1:10">
      <c r="A19" s="41" t="s">
        <v>989</v>
      </c>
      <c r="B19" s="41" t="s">
        <v>922</v>
      </c>
      <c r="D19" s="58">
        <v>0</v>
      </c>
      <c r="E19" s="58">
        <v>1647.72</v>
      </c>
      <c r="F19" s="58">
        <v>1062</v>
      </c>
      <c r="G19" s="60">
        <v>0</v>
      </c>
      <c r="H19" s="60">
        <v>0</v>
      </c>
      <c r="I19" s="58">
        <v>0</v>
      </c>
      <c r="J19" s="12">
        <v>0</v>
      </c>
    </row>
    <row r="20" spans="1:10">
      <c r="A20" t="s">
        <v>249</v>
      </c>
      <c r="D20" s="58"/>
      <c r="E20" s="58"/>
      <c r="F20" s="58"/>
      <c r="G20" s="60"/>
      <c r="H20" s="60"/>
      <c r="I20" s="58"/>
      <c r="J20" s="12"/>
    </row>
    <row r="21" spans="1:10">
      <c r="A21" t="s">
        <v>477</v>
      </c>
      <c r="B21" t="s">
        <v>251</v>
      </c>
      <c r="D21" s="58">
        <f>0.0725*(D17+D18+D19)</f>
        <v>8257.3983749999989</v>
      </c>
      <c r="E21" s="58">
        <v>7149.15</v>
      </c>
      <c r="F21" s="58">
        <v>6065</v>
      </c>
      <c r="G21" s="60">
        <v>5323</v>
      </c>
      <c r="H21" s="60">
        <v>5030</v>
      </c>
      <c r="I21" s="58">
        <v>4680</v>
      </c>
      <c r="J21" s="12">
        <v>4332</v>
      </c>
    </row>
    <row r="22" spans="1:10">
      <c r="A22" t="s">
        <v>478</v>
      </c>
      <c r="B22" t="s">
        <v>111</v>
      </c>
      <c r="D22" s="58">
        <f>0.062*(D17+D18+D19)</f>
        <v>7061.4992999999995</v>
      </c>
      <c r="E22" s="58">
        <v>6062.01</v>
      </c>
      <c r="F22" s="58">
        <v>5159</v>
      </c>
      <c r="G22" s="60">
        <v>4699</v>
      </c>
      <c r="H22" s="60">
        <v>4601</v>
      </c>
      <c r="I22" s="58">
        <v>4440</v>
      </c>
      <c r="J22" s="12">
        <v>4273</v>
      </c>
    </row>
    <row r="23" spans="1:10">
      <c r="A23" t="s">
        <v>479</v>
      </c>
      <c r="B23" t="s">
        <v>113</v>
      </c>
      <c r="D23" s="58">
        <f>0.0145*(D17+D18+D19)</f>
        <v>1651.479675</v>
      </c>
      <c r="E23" s="58">
        <v>1417.75</v>
      </c>
      <c r="F23" s="58">
        <v>1207</v>
      </c>
      <c r="G23" s="60">
        <v>1099</v>
      </c>
      <c r="H23" s="60">
        <v>1076</v>
      </c>
      <c r="I23" s="58">
        <v>1038</v>
      </c>
      <c r="J23" s="12">
        <v>999</v>
      </c>
    </row>
    <row r="24" spans="1:10">
      <c r="A24" t="s">
        <v>244</v>
      </c>
      <c r="D24" s="58"/>
      <c r="E24" s="58"/>
      <c r="F24" s="58"/>
      <c r="G24" s="60"/>
      <c r="H24" s="60"/>
      <c r="I24" s="58"/>
      <c r="J24" s="12"/>
    </row>
    <row r="25" spans="1:10">
      <c r="A25" t="s">
        <v>480</v>
      </c>
      <c r="B25" t="s">
        <v>246</v>
      </c>
      <c r="D25" s="58">
        <v>9402</v>
      </c>
      <c r="E25" s="58">
        <v>18804.04</v>
      </c>
      <c r="F25" s="58">
        <v>16128</v>
      </c>
      <c r="G25" s="60">
        <v>13554</v>
      </c>
      <c r="H25" s="60">
        <v>13527</v>
      </c>
      <c r="I25" s="58">
        <v>12015</v>
      </c>
      <c r="J25" s="12">
        <v>10224</v>
      </c>
    </row>
    <row r="26" spans="1:10">
      <c r="A26" t="s">
        <v>481</v>
      </c>
      <c r="B26" t="s">
        <v>248</v>
      </c>
      <c r="D26" s="58">
        <v>936</v>
      </c>
      <c r="E26" s="58">
        <v>833.67</v>
      </c>
      <c r="F26" s="58">
        <v>1074</v>
      </c>
      <c r="G26" s="60">
        <v>995</v>
      </c>
      <c r="H26" s="60">
        <v>876</v>
      </c>
      <c r="I26" s="58">
        <v>697</v>
      </c>
      <c r="J26" s="12">
        <v>638</v>
      </c>
    </row>
    <row r="27" spans="1:10">
      <c r="A27" s="41" t="s">
        <v>994</v>
      </c>
      <c r="D27" s="58"/>
      <c r="E27" s="58"/>
      <c r="F27" s="58"/>
      <c r="G27" s="60"/>
      <c r="H27" s="60"/>
      <c r="I27" s="58"/>
      <c r="J27" s="12"/>
    </row>
    <row r="28" spans="1:10">
      <c r="A28" s="41" t="s">
        <v>995</v>
      </c>
      <c r="B28" s="41" t="s">
        <v>996</v>
      </c>
      <c r="D28" s="58">
        <v>0</v>
      </c>
      <c r="E28" s="58">
        <v>2641.54</v>
      </c>
      <c r="F28" s="58">
        <v>0</v>
      </c>
      <c r="G28" s="60">
        <v>0</v>
      </c>
      <c r="H28" s="60">
        <v>0</v>
      </c>
      <c r="I28" s="58">
        <v>0</v>
      </c>
      <c r="J28" s="12">
        <v>0</v>
      </c>
    </row>
    <row r="29" spans="1:10">
      <c r="A29" t="s">
        <v>58</v>
      </c>
      <c r="D29" s="58"/>
      <c r="E29" s="58"/>
      <c r="F29" s="58"/>
      <c r="G29" s="60"/>
      <c r="H29" s="60"/>
      <c r="I29" s="58"/>
      <c r="J29" s="12"/>
    </row>
    <row r="30" spans="1:10">
      <c r="A30" t="s">
        <v>482</v>
      </c>
      <c r="B30" t="s">
        <v>243</v>
      </c>
      <c r="D30" s="58">
        <f>5000*106%</f>
        <v>5300</v>
      </c>
      <c r="E30" s="58">
        <v>919</v>
      </c>
      <c r="F30" s="58">
        <v>8548</v>
      </c>
      <c r="G30" s="60">
        <v>3457</v>
      </c>
      <c r="H30" s="60">
        <v>3157</v>
      </c>
      <c r="I30" s="58">
        <v>2831</v>
      </c>
      <c r="J30" s="12">
        <v>260</v>
      </c>
    </row>
    <row r="31" spans="1:10">
      <c r="A31" s="19" t="s">
        <v>44</v>
      </c>
      <c r="D31" s="58"/>
      <c r="E31" s="58"/>
      <c r="F31" s="58"/>
      <c r="G31" s="60"/>
      <c r="H31" s="60"/>
      <c r="I31" s="58"/>
      <c r="J31" s="12"/>
    </row>
    <row r="32" spans="1:10">
      <c r="A32" s="41" t="s">
        <v>992</v>
      </c>
      <c r="B32" s="41" t="s">
        <v>993</v>
      </c>
      <c r="D32" s="58">
        <v>0</v>
      </c>
      <c r="E32" s="58">
        <v>158.66999999999999</v>
      </c>
      <c r="F32" s="58">
        <v>0</v>
      </c>
      <c r="G32" s="60">
        <v>0</v>
      </c>
      <c r="H32" s="60">
        <v>0</v>
      </c>
      <c r="I32" s="58">
        <v>0</v>
      </c>
      <c r="J32" s="12">
        <v>0</v>
      </c>
    </row>
    <row r="33" spans="1:12">
      <c r="A33" s="41" t="s">
        <v>990</v>
      </c>
      <c r="B33" s="41" t="s">
        <v>991</v>
      </c>
      <c r="D33" s="58">
        <v>0</v>
      </c>
      <c r="E33" s="58">
        <v>388.93</v>
      </c>
      <c r="F33" s="58">
        <v>0</v>
      </c>
      <c r="G33" s="60">
        <v>0</v>
      </c>
      <c r="H33" s="60">
        <v>0</v>
      </c>
      <c r="I33" s="58">
        <v>0</v>
      </c>
      <c r="J33" s="12">
        <v>0</v>
      </c>
    </row>
    <row r="34" spans="1:12">
      <c r="A34" t="s">
        <v>483</v>
      </c>
      <c r="B34" t="s">
        <v>50</v>
      </c>
      <c r="D34" s="58">
        <v>2500</v>
      </c>
      <c r="E34" s="58">
        <v>889.39</v>
      </c>
      <c r="F34" s="58">
        <f>1250+1181</f>
        <v>2431</v>
      </c>
      <c r="G34" s="60">
        <f>733+824</f>
        <v>1557</v>
      </c>
      <c r="H34" s="60">
        <v>861</v>
      </c>
      <c r="I34" s="58">
        <v>698</v>
      </c>
      <c r="J34" s="12">
        <v>0</v>
      </c>
    </row>
    <row r="35" spans="1:12">
      <c r="A35" t="s">
        <v>484</v>
      </c>
      <c r="B35" t="s">
        <v>52</v>
      </c>
      <c r="D35" s="58">
        <v>1000</v>
      </c>
      <c r="E35" s="58">
        <v>438.23</v>
      </c>
      <c r="F35" s="58">
        <v>938</v>
      </c>
      <c r="G35" s="60">
        <v>76</v>
      </c>
      <c r="H35" s="60">
        <v>667</v>
      </c>
      <c r="I35" s="58">
        <v>502</v>
      </c>
      <c r="J35" s="12">
        <v>0</v>
      </c>
    </row>
    <row r="36" spans="1:12">
      <c r="A36" t="s">
        <v>485</v>
      </c>
      <c r="B36" t="s">
        <v>57</v>
      </c>
      <c r="D36" s="58">
        <v>600</v>
      </c>
      <c r="E36" s="58">
        <v>1977.1</v>
      </c>
      <c r="F36" s="58">
        <v>600</v>
      </c>
      <c r="G36" s="60">
        <v>203</v>
      </c>
      <c r="H36" s="60">
        <f>526+43</f>
        <v>569</v>
      </c>
      <c r="I36" s="58">
        <v>2963</v>
      </c>
      <c r="J36" s="12">
        <v>0</v>
      </c>
    </row>
    <row r="37" spans="1:12">
      <c r="A37" t="s">
        <v>208</v>
      </c>
      <c r="D37" s="58"/>
      <c r="E37" s="58"/>
      <c r="F37" s="58"/>
      <c r="G37" s="60"/>
      <c r="H37" s="60"/>
      <c r="I37" s="58"/>
      <c r="J37" s="12"/>
    </row>
    <row r="38" spans="1:12">
      <c r="A38" t="s">
        <v>486</v>
      </c>
      <c r="B38" t="s">
        <v>210</v>
      </c>
      <c r="D38" s="58">
        <v>50</v>
      </c>
      <c r="E38" s="58">
        <v>93.83</v>
      </c>
      <c r="F38" s="58">
        <v>425</v>
      </c>
      <c r="G38" s="60">
        <v>0</v>
      </c>
      <c r="H38" s="60">
        <v>0</v>
      </c>
      <c r="I38" s="58">
        <v>0</v>
      </c>
      <c r="J38" s="12">
        <v>0</v>
      </c>
    </row>
    <row r="39" spans="1:12">
      <c r="A39" t="s">
        <v>487</v>
      </c>
      <c r="B39" t="s">
        <v>212</v>
      </c>
      <c r="D39" s="58">
        <v>3000</v>
      </c>
      <c r="E39" s="58">
        <v>1979.05</v>
      </c>
      <c r="F39" s="58">
        <f>9+2544</f>
        <v>2553</v>
      </c>
      <c r="G39" s="60">
        <v>1367</v>
      </c>
      <c r="H39" s="60">
        <v>1365</v>
      </c>
      <c r="I39" s="58">
        <v>1153</v>
      </c>
      <c r="J39" s="12">
        <v>0</v>
      </c>
    </row>
    <row r="40" spans="1:12">
      <c r="A40" t="s">
        <v>488</v>
      </c>
      <c r="B40" t="s">
        <v>40</v>
      </c>
      <c r="D40" s="58">
        <v>100</v>
      </c>
      <c r="E40" s="58">
        <v>96</v>
      </c>
      <c r="F40" s="58">
        <v>0</v>
      </c>
      <c r="G40" s="60">
        <v>23</v>
      </c>
      <c r="H40" s="60">
        <v>27</v>
      </c>
      <c r="I40" s="58">
        <v>0</v>
      </c>
      <c r="J40" s="12">
        <v>68</v>
      </c>
    </row>
    <row r="41" spans="1:12">
      <c r="A41" t="s">
        <v>489</v>
      </c>
      <c r="B41" t="s">
        <v>42</v>
      </c>
      <c r="D41" s="58">
        <v>50</v>
      </c>
      <c r="E41" s="58">
        <v>14.55</v>
      </c>
      <c r="F41" s="58">
        <v>0</v>
      </c>
      <c r="G41" s="60">
        <v>283</v>
      </c>
      <c r="H41" s="60">
        <v>0</v>
      </c>
      <c r="I41" s="58">
        <v>0</v>
      </c>
      <c r="J41" s="12">
        <v>0</v>
      </c>
    </row>
    <row r="42" spans="1:12">
      <c r="A42" t="s">
        <v>490</v>
      </c>
      <c r="B42" t="s">
        <v>43</v>
      </c>
      <c r="D42" s="58">
        <v>3500</v>
      </c>
      <c r="E42" s="58">
        <v>4369.09</v>
      </c>
      <c r="F42" s="58">
        <v>1112</v>
      </c>
      <c r="G42" s="60">
        <v>3260</v>
      </c>
      <c r="H42" s="60">
        <v>6999</v>
      </c>
      <c r="I42" s="58">
        <v>16030</v>
      </c>
      <c r="J42" s="12">
        <v>4205</v>
      </c>
    </row>
    <row r="43" spans="1:12">
      <c r="A43" t="s">
        <v>28</v>
      </c>
      <c r="D43" s="58"/>
      <c r="E43" s="58"/>
      <c r="F43" s="58"/>
      <c r="G43" s="60"/>
      <c r="H43" s="60"/>
      <c r="I43" s="58"/>
      <c r="J43" s="12"/>
    </row>
    <row r="44" spans="1:12">
      <c r="A44" t="s">
        <v>491</v>
      </c>
      <c r="B44" t="s">
        <v>199</v>
      </c>
      <c r="D44" s="58">
        <v>10000</v>
      </c>
      <c r="E44" s="58">
        <v>9737.49</v>
      </c>
      <c r="F44" s="58">
        <v>6652</v>
      </c>
      <c r="G44" s="60">
        <v>7900</v>
      </c>
      <c r="H44" s="60">
        <v>7830</v>
      </c>
      <c r="I44" s="58">
        <v>23980</v>
      </c>
      <c r="J44" s="12">
        <v>16378</v>
      </c>
    </row>
    <row r="45" spans="1:12">
      <c r="A45" t="s">
        <v>492</v>
      </c>
      <c r="B45" t="s">
        <v>200</v>
      </c>
      <c r="D45" s="58"/>
      <c r="E45" s="58"/>
      <c r="F45" s="58"/>
      <c r="G45" s="60"/>
      <c r="H45" s="60"/>
      <c r="I45" s="58"/>
      <c r="J45" s="12"/>
    </row>
    <row r="46" spans="1:12">
      <c r="A46" t="s">
        <v>493</v>
      </c>
      <c r="B46" t="s">
        <v>202</v>
      </c>
      <c r="D46" s="58">
        <v>25</v>
      </c>
      <c r="E46" s="58">
        <v>0</v>
      </c>
      <c r="F46" s="58">
        <v>25</v>
      </c>
      <c r="G46" s="60">
        <v>30</v>
      </c>
      <c r="H46" s="60">
        <v>0</v>
      </c>
      <c r="I46" s="58">
        <v>8</v>
      </c>
      <c r="J46" s="12">
        <v>0</v>
      </c>
    </row>
    <row r="47" spans="1:12">
      <c r="A47" t="s">
        <v>494</v>
      </c>
      <c r="B47" t="s">
        <v>206</v>
      </c>
      <c r="D47" s="58">
        <v>14000</v>
      </c>
      <c r="E47" s="58">
        <v>3267.38</v>
      </c>
      <c r="F47" s="58">
        <f>436+29</f>
        <v>465</v>
      </c>
      <c r="G47" s="60">
        <v>232</v>
      </c>
      <c r="H47" s="60">
        <v>569</v>
      </c>
      <c r="I47" s="58">
        <v>1607</v>
      </c>
      <c r="J47" s="12">
        <v>327</v>
      </c>
    </row>
    <row r="48" spans="1:12">
      <c r="A48" t="s">
        <v>495</v>
      </c>
      <c r="B48" t="s">
        <v>207</v>
      </c>
      <c r="D48" s="58">
        <v>500</v>
      </c>
      <c r="E48" s="58">
        <v>238.56</v>
      </c>
      <c r="F48" s="58">
        <v>90</v>
      </c>
      <c r="G48" s="60">
        <v>449</v>
      </c>
      <c r="H48" s="60">
        <v>1897</v>
      </c>
      <c r="I48" s="58">
        <v>145</v>
      </c>
      <c r="J48" s="12">
        <v>0</v>
      </c>
      <c r="L48" s="41"/>
    </row>
    <row r="49" spans="1:10">
      <c r="D49" s="58"/>
      <c r="E49" s="58"/>
      <c r="F49" s="58"/>
      <c r="G49" s="60"/>
      <c r="H49" s="60"/>
      <c r="I49" s="58"/>
      <c r="J49" s="12"/>
    </row>
    <row r="50" spans="1:10">
      <c r="A50" t="s">
        <v>9</v>
      </c>
      <c r="D50" s="58"/>
      <c r="E50" s="58"/>
      <c r="F50" s="58"/>
      <c r="G50" s="60"/>
      <c r="H50" s="60"/>
      <c r="I50" s="58"/>
      <c r="J50" s="12"/>
    </row>
    <row r="51" spans="1:10">
      <c r="A51" t="s">
        <v>496</v>
      </c>
      <c r="B51" t="s">
        <v>11</v>
      </c>
      <c r="D51" s="60">
        <f>1932*103%</f>
        <v>1989.96</v>
      </c>
      <c r="E51" s="60">
        <v>1894</v>
      </c>
      <c r="F51" s="60">
        <v>1894</v>
      </c>
      <c r="G51" s="60">
        <v>1622</v>
      </c>
      <c r="H51" s="60">
        <v>1578</v>
      </c>
      <c r="I51" s="58">
        <v>1578</v>
      </c>
      <c r="J51" s="12">
        <v>1530</v>
      </c>
    </row>
    <row r="52" spans="1:10">
      <c r="A52" t="s">
        <v>497</v>
      </c>
      <c r="B52" t="s">
        <v>13</v>
      </c>
      <c r="D52" s="60">
        <v>30000</v>
      </c>
      <c r="E52" s="60">
        <v>30537.78</v>
      </c>
      <c r="F52" s="60">
        <v>47587</v>
      </c>
      <c r="G52" s="60">
        <v>265</v>
      </c>
      <c r="H52" s="60">
        <v>1311</v>
      </c>
      <c r="I52" s="58">
        <v>2115</v>
      </c>
      <c r="J52" s="12">
        <v>294</v>
      </c>
    </row>
    <row r="53" spans="1:10">
      <c r="A53" s="41" t="s">
        <v>988</v>
      </c>
      <c r="B53" s="41" t="s">
        <v>15</v>
      </c>
      <c r="D53" s="60">
        <v>0</v>
      </c>
      <c r="E53" s="60">
        <v>808.2</v>
      </c>
      <c r="F53" s="60">
        <v>0</v>
      </c>
      <c r="G53" s="60">
        <v>0</v>
      </c>
      <c r="H53" s="60">
        <v>0</v>
      </c>
      <c r="I53" s="58">
        <v>0</v>
      </c>
      <c r="J53" s="12">
        <v>0</v>
      </c>
    </row>
    <row r="54" spans="1:10">
      <c r="A54" t="s">
        <v>498</v>
      </c>
      <c r="B54" t="s">
        <v>17</v>
      </c>
      <c r="D54" s="58">
        <v>2500</v>
      </c>
      <c r="E54" s="58">
        <v>3852.84</v>
      </c>
      <c r="F54" s="58">
        <v>2737</v>
      </c>
      <c r="G54" s="60">
        <v>1960</v>
      </c>
      <c r="H54" s="60">
        <v>2283</v>
      </c>
      <c r="I54" s="58">
        <v>1389</v>
      </c>
      <c r="J54" s="12">
        <v>2150</v>
      </c>
    </row>
    <row r="55" spans="1:10">
      <c r="A55" t="s">
        <v>499</v>
      </c>
      <c r="B55" t="s">
        <v>125</v>
      </c>
      <c r="D55" s="58">
        <v>0</v>
      </c>
      <c r="E55" s="58">
        <v>536.17999999999995</v>
      </c>
      <c r="F55" s="58">
        <v>3526</v>
      </c>
      <c r="G55" s="60">
        <v>1019</v>
      </c>
      <c r="H55" s="60">
        <v>1821</v>
      </c>
      <c r="I55" s="58">
        <v>264</v>
      </c>
      <c r="J55" s="12">
        <v>0</v>
      </c>
    </row>
    <row r="56" spans="1:10">
      <c r="A56" t="s">
        <v>8</v>
      </c>
      <c r="D56" s="58"/>
      <c r="E56" s="58"/>
      <c r="F56" s="58"/>
      <c r="G56" s="60"/>
      <c r="H56" s="60"/>
      <c r="I56" s="58"/>
      <c r="J56" s="12"/>
    </row>
    <row r="57" spans="1:10">
      <c r="A57" t="s">
        <v>500</v>
      </c>
      <c r="B57" t="s">
        <v>119</v>
      </c>
      <c r="D57" s="58">
        <v>900</v>
      </c>
      <c r="E57" s="58">
        <v>646.24</v>
      </c>
      <c r="F57" s="58">
        <v>728</v>
      </c>
      <c r="G57" s="60">
        <v>862</v>
      </c>
      <c r="H57" s="60">
        <v>0</v>
      </c>
      <c r="I57" s="58">
        <v>5</v>
      </c>
      <c r="J57" s="12">
        <v>56</v>
      </c>
    </row>
    <row r="58" spans="1:10">
      <c r="A58" t="s">
        <v>501</v>
      </c>
      <c r="B58" t="s">
        <v>120</v>
      </c>
      <c r="D58" s="58">
        <v>5000</v>
      </c>
      <c r="E58" s="58">
        <v>5988.61</v>
      </c>
      <c r="F58" s="58">
        <v>4575</v>
      </c>
      <c r="G58" s="60">
        <v>3200</v>
      </c>
      <c r="H58" s="60">
        <v>2641</v>
      </c>
      <c r="I58" s="58">
        <v>2456</v>
      </c>
      <c r="J58" s="12">
        <v>2055</v>
      </c>
    </row>
    <row r="59" spans="1:10">
      <c r="A59" t="s">
        <v>193</v>
      </c>
      <c r="D59" s="58"/>
      <c r="E59" s="58"/>
      <c r="F59" s="58"/>
      <c r="G59" s="60"/>
      <c r="H59" s="60"/>
      <c r="I59" s="58"/>
      <c r="J59" s="12"/>
    </row>
    <row r="60" spans="1:10">
      <c r="A60" t="s">
        <v>502</v>
      </c>
      <c r="B60" t="s">
        <v>195</v>
      </c>
      <c r="D60" s="58">
        <v>200</v>
      </c>
      <c r="E60" s="58">
        <v>177.5</v>
      </c>
      <c r="F60" s="58">
        <v>341</v>
      </c>
      <c r="G60" s="60">
        <v>38</v>
      </c>
      <c r="H60" s="60">
        <v>10</v>
      </c>
      <c r="I60" s="58">
        <v>0</v>
      </c>
      <c r="J60" s="12">
        <v>0</v>
      </c>
    </row>
    <row r="61" spans="1:10">
      <c r="A61" t="s">
        <v>180</v>
      </c>
      <c r="D61" s="58"/>
      <c r="E61" s="58"/>
      <c r="F61" s="58"/>
      <c r="G61" s="60"/>
      <c r="H61" s="60"/>
      <c r="I61" s="58"/>
      <c r="J61" s="12"/>
    </row>
    <row r="62" spans="1:10">
      <c r="A62" t="s">
        <v>503</v>
      </c>
      <c r="B62" t="s">
        <v>183</v>
      </c>
      <c r="D62" s="58">
        <v>250</v>
      </c>
      <c r="E62" s="58">
        <v>0</v>
      </c>
      <c r="F62" s="58">
        <f>101+56+45+18</f>
        <v>220</v>
      </c>
      <c r="G62" s="60">
        <v>14</v>
      </c>
      <c r="H62" s="60">
        <v>26</v>
      </c>
      <c r="I62" s="58">
        <v>0</v>
      </c>
      <c r="J62" s="12">
        <v>0</v>
      </c>
    </row>
    <row r="63" spans="1:10">
      <c r="A63" t="s">
        <v>173</v>
      </c>
      <c r="D63" s="58"/>
      <c r="E63" s="58"/>
      <c r="F63" s="58"/>
      <c r="G63" s="60"/>
      <c r="H63" s="60"/>
      <c r="I63" s="58"/>
      <c r="J63" s="12"/>
    </row>
    <row r="64" spans="1:10">
      <c r="A64" t="s">
        <v>504</v>
      </c>
      <c r="B64" t="s">
        <v>115</v>
      </c>
      <c r="D64" s="58">
        <f>2903*110%</f>
        <v>3193.3</v>
      </c>
      <c r="E64" s="58">
        <v>2903</v>
      </c>
      <c r="F64" s="58">
        <v>2049</v>
      </c>
      <c r="G64" s="60">
        <v>2613</v>
      </c>
      <c r="H64" s="60">
        <v>2508</v>
      </c>
      <c r="I64" s="58">
        <v>2283</v>
      </c>
      <c r="J64" s="12">
        <v>2616</v>
      </c>
    </row>
    <row r="65" spans="1:10">
      <c r="A65" t="s">
        <v>505</v>
      </c>
      <c r="B65" t="s">
        <v>176</v>
      </c>
      <c r="D65" s="58">
        <f>1541*107%</f>
        <v>1648.8700000000001</v>
      </c>
      <c r="E65" s="58">
        <v>1541</v>
      </c>
      <c r="F65" s="58">
        <v>1093</v>
      </c>
      <c r="G65" s="60">
        <v>1486</v>
      </c>
      <c r="H65" s="60">
        <v>1624</v>
      </c>
      <c r="I65" s="58">
        <v>3369</v>
      </c>
      <c r="J65" s="12">
        <v>248</v>
      </c>
    </row>
    <row r="66" spans="1:10">
      <c r="A66" t="s">
        <v>506</v>
      </c>
      <c r="B66" t="s">
        <v>177</v>
      </c>
      <c r="D66" s="58">
        <f>862*105%</f>
        <v>905.1</v>
      </c>
      <c r="E66" s="58">
        <v>862</v>
      </c>
      <c r="F66" s="58">
        <v>659</v>
      </c>
      <c r="G66" s="60">
        <v>906</v>
      </c>
      <c r="H66" s="60">
        <v>789</v>
      </c>
      <c r="I66" s="58">
        <v>727</v>
      </c>
      <c r="J66" s="12">
        <v>930</v>
      </c>
    </row>
    <row r="67" spans="1:10">
      <c r="A67" t="s">
        <v>163</v>
      </c>
      <c r="D67" s="58"/>
      <c r="E67" s="58"/>
      <c r="F67" s="58"/>
      <c r="G67" s="60"/>
      <c r="H67" s="60"/>
      <c r="I67" s="58"/>
      <c r="J67" s="12"/>
    </row>
    <row r="68" spans="1:10">
      <c r="A68" t="s">
        <v>507</v>
      </c>
      <c r="B68" t="s">
        <v>164</v>
      </c>
      <c r="D68" s="58">
        <f>1563*106.23%</f>
        <v>1660.3749</v>
      </c>
      <c r="E68" s="58">
        <v>0</v>
      </c>
      <c r="F68" s="58">
        <v>0</v>
      </c>
      <c r="G68" s="60">
        <v>0</v>
      </c>
      <c r="H68" s="60">
        <v>0</v>
      </c>
      <c r="I68" s="58">
        <v>228</v>
      </c>
      <c r="J68" s="12">
        <v>210</v>
      </c>
    </row>
    <row r="69" spans="1:10">
      <c r="A69" t="s">
        <v>897</v>
      </c>
      <c r="B69" t="s">
        <v>166</v>
      </c>
      <c r="D69" s="58">
        <v>1500</v>
      </c>
      <c r="E69" s="58">
        <v>2126.86</v>
      </c>
      <c r="F69" s="58">
        <v>973</v>
      </c>
      <c r="G69" s="60">
        <v>0</v>
      </c>
      <c r="H69" s="60">
        <v>0</v>
      </c>
      <c r="I69" s="58">
        <v>0</v>
      </c>
      <c r="J69" s="12">
        <v>0</v>
      </c>
    </row>
    <row r="70" spans="1:10">
      <c r="A70" s="41" t="s">
        <v>950</v>
      </c>
      <c r="B70" s="41" t="s">
        <v>167</v>
      </c>
      <c r="D70" s="58">
        <v>0</v>
      </c>
      <c r="E70" s="58">
        <v>749.11</v>
      </c>
      <c r="F70" s="58">
        <v>904</v>
      </c>
      <c r="G70" s="60">
        <v>0</v>
      </c>
      <c r="H70" s="60">
        <v>0</v>
      </c>
      <c r="I70" s="58">
        <v>0</v>
      </c>
      <c r="J70" s="12">
        <v>0</v>
      </c>
    </row>
    <row r="71" spans="1:10">
      <c r="A71" s="41" t="s">
        <v>665</v>
      </c>
      <c r="D71" s="58"/>
      <c r="E71" s="58"/>
      <c r="F71" s="58"/>
      <c r="G71" s="60"/>
      <c r="H71" s="60"/>
      <c r="I71" s="58"/>
      <c r="J71" s="12"/>
    </row>
    <row r="72" spans="1:10">
      <c r="A72" s="41"/>
      <c r="B72" s="41" t="s">
        <v>951</v>
      </c>
      <c r="D72" s="58">
        <v>12000</v>
      </c>
      <c r="E72" s="58">
        <v>0</v>
      </c>
      <c r="F72" s="58">
        <v>0</v>
      </c>
      <c r="G72" s="60">
        <v>0</v>
      </c>
      <c r="H72" s="60">
        <v>0</v>
      </c>
      <c r="I72" s="58">
        <v>0</v>
      </c>
      <c r="J72" s="12">
        <v>0</v>
      </c>
    </row>
    <row r="73" spans="1:10">
      <c r="A73" s="41" t="s">
        <v>921</v>
      </c>
      <c r="B73" s="41" t="s">
        <v>152</v>
      </c>
      <c r="D73" s="58">
        <v>0</v>
      </c>
      <c r="E73" s="58">
        <v>1967.59</v>
      </c>
      <c r="F73" s="58">
        <v>15230</v>
      </c>
      <c r="G73" s="60">
        <v>6792</v>
      </c>
      <c r="H73" s="60">
        <v>0</v>
      </c>
      <c r="I73" s="58">
        <v>0</v>
      </c>
      <c r="J73" s="12">
        <v>0</v>
      </c>
    </row>
    <row r="74" spans="1:10">
      <c r="A74" t="s">
        <v>656</v>
      </c>
      <c r="D74" s="58"/>
      <c r="E74" s="58"/>
      <c r="F74" s="58"/>
      <c r="G74" s="60"/>
      <c r="H74" s="60"/>
      <c r="I74" s="58"/>
      <c r="J74" s="12"/>
    </row>
    <row r="75" spans="1:10">
      <c r="A75" t="s">
        <v>797</v>
      </c>
      <c r="B75" t="s">
        <v>657</v>
      </c>
      <c r="D75" s="58">
        <v>130000</v>
      </c>
      <c r="E75" s="58">
        <v>292052.55</v>
      </c>
      <c r="F75" s="58">
        <v>110000</v>
      </c>
      <c r="G75" s="60">
        <v>100000</v>
      </c>
      <c r="H75" s="60">
        <v>100000</v>
      </c>
      <c r="I75" s="61">
        <v>100000</v>
      </c>
      <c r="J75" s="12">
        <v>227141</v>
      </c>
    </row>
    <row r="76" spans="1:10">
      <c r="A76" t="s">
        <v>157</v>
      </c>
      <c r="D76" s="58"/>
      <c r="E76" s="58"/>
      <c r="F76" s="58"/>
      <c r="G76" s="60"/>
      <c r="H76" s="60"/>
      <c r="I76" s="58"/>
      <c r="J76" s="12"/>
    </row>
    <row r="77" spans="1:10">
      <c r="A77" t="s">
        <v>793</v>
      </c>
      <c r="B77" t="s">
        <v>158</v>
      </c>
      <c r="D77" s="58">
        <v>0</v>
      </c>
      <c r="E77" s="58">
        <v>0</v>
      </c>
      <c r="F77" s="58">
        <v>11825</v>
      </c>
      <c r="G77" s="60">
        <v>0</v>
      </c>
      <c r="H77" s="60">
        <v>0</v>
      </c>
      <c r="I77" s="58">
        <v>0</v>
      </c>
      <c r="J77" s="12">
        <v>0</v>
      </c>
    </row>
    <row r="78" spans="1:10">
      <c r="A78" t="s">
        <v>508</v>
      </c>
      <c r="B78" t="s">
        <v>160</v>
      </c>
      <c r="D78" s="58">
        <v>5000</v>
      </c>
      <c r="E78" s="58">
        <v>437.5</v>
      </c>
      <c r="F78" s="58">
        <v>0</v>
      </c>
      <c r="G78" s="60">
        <v>2644</v>
      </c>
      <c r="H78" s="60">
        <v>147</v>
      </c>
      <c r="I78" s="58">
        <v>0</v>
      </c>
      <c r="J78" s="12">
        <v>0</v>
      </c>
    </row>
    <row r="79" spans="1:10">
      <c r="A79" t="s">
        <v>509</v>
      </c>
      <c r="B79" t="s">
        <v>161</v>
      </c>
      <c r="D79" s="58">
        <v>50</v>
      </c>
      <c r="E79" s="58">
        <v>0</v>
      </c>
      <c r="F79" s="58">
        <v>0</v>
      </c>
      <c r="G79" s="60">
        <v>0</v>
      </c>
      <c r="H79" s="60">
        <v>0</v>
      </c>
      <c r="I79" s="58">
        <v>358</v>
      </c>
      <c r="J79" s="12">
        <v>0</v>
      </c>
    </row>
    <row r="80" spans="1:10">
      <c r="A80" s="41" t="s">
        <v>987</v>
      </c>
      <c r="B80" s="41" t="s">
        <v>152</v>
      </c>
      <c r="D80" s="58">
        <v>0</v>
      </c>
      <c r="E80" s="58">
        <v>2513.5</v>
      </c>
      <c r="F80" s="58">
        <v>0</v>
      </c>
      <c r="G80" s="60">
        <v>0</v>
      </c>
      <c r="H80" s="60">
        <v>0</v>
      </c>
      <c r="I80" s="58">
        <v>0</v>
      </c>
      <c r="J80" s="12">
        <v>0</v>
      </c>
    </row>
    <row r="81" spans="1:11">
      <c r="A81" t="s">
        <v>510</v>
      </c>
      <c r="B81" t="s">
        <v>125</v>
      </c>
      <c r="D81" s="58">
        <v>0</v>
      </c>
      <c r="E81" s="58">
        <v>0</v>
      </c>
      <c r="F81" s="58">
        <v>564</v>
      </c>
      <c r="G81" s="60">
        <v>0</v>
      </c>
      <c r="H81" s="60">
        <v>60</v>
      </c>
      <c r="I81" s="58">
        <v>0</v>
      </c>
      <c r="J81" s="12">
        <v>0</v>
      </c>
    </row>
    <row r="82" spans="1:11">
      <c r="A82" t="s">
        <v>148</v>
      </c>
      <c r="D82" s="58"/>
      <c r="E82" s="58"/>
      <c r="F82" s="58"/>
      <c r="G82" s="60"/>
      <c r="H82" s="60"/>
      <c r="I82" s="58"/>
      <c r="J82" s="12"/>
    </row>
    <row r="83" spans="1:11">
      <c r="A83" t="s">
        <v>511</v>
      </c>
      <c r="B83" t="s">
        <v>149</v>
      </c>
      <c r="D83" s="58">
        <v>45000</v>
      </c>
      <c r="E83" s="58">
        <v>0</v>
      </c>
      <c r="F83" s="58">
        <v>13020</v>
      </c>
      <c r="G83" s="60">
        <f>1872/2</f>
        <v>936</v>
      </c>
      <c r="H83" s="60">
        <v>0</v>
      </c>
      <c r="I83" s="63">
        <v>0</v>
      </c>
      <c r="J83" s="12">
        <v>0</v>
      </c>
    </row>
    <row r="84" spans="1:11">
      <c r="A84" t="s">
        <v>141</v>
      </c>
      <c r="D84" s="58"/>
      <c r="E84" s="58"/>
      <c r="F84" s="58"/>
      <c r="G84" s="60"/>
      <c r="H84" s="60"/>
      <c r="I84" s="58"/>
      <c r="J84" s="12"/>
    </row>
    <row r="85" spans="1:11">
      <c r="A85" t="s">
        <v>512</v>
      </c>
      <c r="B85" t="s">
        <v>124</v>
      </c>
      <c r="D85" s="60">
        <v>1500</v>
      </c>
      <c r="E85" s="60">
        <v>2743.53</v>
      </c>
      <c r="F85" s="60">
        <v>2196</v>
      </c>
      <c r="G85" s="60">
        <v>2595</v>
      </c>
      <c r="H85" s="60">
        <v>1369</v>
      </c>
      <c r="I85" s="58">
        <v>1627</v>
      </c>
      <c r="J85" s="12">
        <v>1016</v>
      </c>
    </row>
    <row r="86" spans="1:11">
      <c r="A86" t="s">
        <v>513</v>
      </c>
      <c r="B86" t="s">
        <v>122</v>
      </c>
      <c r="D86" s="60">
        <v>500</v>
      </c>
      <c r="E86" s="60">
        <v>806.97</v>
      </c>
      <c r="F86" s="60">
        <v>1178</v>
      </c>
      <c r="G86" s="60">
        <v>499</v>
      </c>
      <c r="H86" s="60">
        <v>204</v>
      </c>
      <c r="I86" s="58">
        <v>40</v>
      </c>
      <c r="J86" s="12">
        <v>35</v>
      </c>
    </row>
    <row r="87" spans="1:11">
      <c r="A87" t="s">
        <v>514</v>
      </c>
      <c r="B87" t="s">
        <v>142</v>
      </c>
      <c r="C87" t="s">
        <v>794</v>
      </c>
      <c r="D87" s="60">
        <v>20300</v>
      </c>
      <c r="E87" s="60">
        <v>19.62</v>
      </c>
      <c r="F87" s="60">
        <f>184+11+14386+4796</f>
        <v>19377</v>
      </c>
      <c r="G87" s="60">
        <v>0</v>
      </c>
      <c r="H87" s="60">
        <f>18504+433</f>
        <v>18937</v>
      </c>
      <c r="I87" s="58">
        <v>0</v>
      </c>
      <c r="J87" s="12">
        <v>23</v>
      </c>
    </row>
    <row r="88" spans="1:11">
      <c r="A88" t="s">
        <v>515</v>
      </c>
      <c r="B88" t="s">
        <v>146</v>
      </c>
      <c r="D88" s="58">
        <v>965450</v>
      </c>
      <c r="E88" s="58">
        <v>1029905.44</v>
      </c>
      <c r="F88" s="58">
        <v>849506</v>
      </c>
      <c r="G88" s="60">
        <v>910069</v>
      </c>
      <c r="H88" s="60">
        <v>871745</v>
      </c>
      <c r="I88" s="58">
        <v>953403</v>
      </c>
      <c r="J88" s="12">
        <v>960665</v>
      </c>
    </row>
    <row r="89" spans="1:11">
      <c r="B89" s="41"/>
      <c r="D89" s="58"/>
      <c r="E89" s="58"/>
      <c r="F89" s="58"/>
      <c r="G89" s="60"/>
      <c r="H89" s="60"/>
      <c r="I89" s="58"/>
      <c r="J89" s="12"/>
      <c r="K89" s="41"/>
    </row>
    <row r="90" spans="1:11">
      <c r="B90" t="s">
        <v>77</v>
      </c>
      <c r="D90" s="60">
        <f>SUM(D17:D89)</f>
        <v>1411376.13225</v>
      </c>
      <c r="E90" s="60">
        <f>SUM(E17:E88)</f>
        <v>1543153.4499999997</v>
      </c>
      <c r="F90" s="60">
        <f>SUM(F17:F88)</f>
        <v>1227270</v>
      </c>
      <c r="G90" s="60">
        <f>SUM(G17:G88)</f>
        <v>1158062</v>
      </c>
      <c r="H90" s="60">
        <f>SUM(H17:H89)</f>
        <v>1130614</v>
      </c>
      <c r="I90" s="57">
        <f>SUM(I17:I88)</f>
        <v>1214625</v>
      </c>
      <c r="J90" s="12">
        <f>SUM(J17:J88)</f>
        <v>1309994</v>
      </c>
    </row>
    <row r="91" spans="1:11">
      <c r="A91" s="19"/>
      <c r="G91" s="73"/>
      <c r="H91" s="73"/>
      <c r="I91" s="64"/>
      <c r="J91" s="13"/>
    </row>
  </sheetData>
  <phoneticPr fontId="2" type="noConversion"/>
  <pageMargins left="0.25" right="0.25" top="0.75" bottom="0.75" header="0.3" footer="0.3"/>
  <pageSetup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dimension ref="A1:L83"/>
  <sheetViews>
    <sheetView topLeftCell="A56" zoomScaleNormal="100" workbookViewId="0">
      <selection activeCell="A23" sqref="A23:B24"/>
    </sheetView>
  </sheetViews>
  <sheetFormatPr defaultRowHeight="12.75"/>
  <cols>
    <col min="1" max="1" width="18.28515625" customWidth="1"/>
    <col min="2" max="2" width="27.5703125" customWidth="1"/>
    <col min="3" max="3" width="5.7109375" customWidth="1"/>
    <col min="4" max="4" width="11.7109375" customWidth="1"/>
    <col min="5" max="6" width="10.7109375" customWidth="1"/>
    <col min="7" max="7" width="11.28515625" customWidth="1"/>
    <col min="8" max="10" width="10.7109375" customWidth="1"/>
  </cols>
  <sheetData>
    <row r="1" spans="1:10" ht="15.75">
      <c r="B1" s="20" t="s">
        <v>5</v>
      </c>
      <c r="D1" s="21">
        <v>2013</v>
      </c>
      <c r="E1" s="74">
        <v>2012</v>
      </c>
      <c r="F1" s="74">
        <v>2011</v>
      </c>
      <c r="G1" s="24">
        <v>2010</v>
      </c>
      <c r="H1" s="74">
        <v>2009</v>
      </c>
      <c r="I1" s="24">
        <v>2008</v>
      </c>
      <c r="J1" s="24">
        <v>2007</v>
      </c>
    </row>
    <row r="2" spans="1:10">
      <c r="D2" s="24" t="s">
        <v>676</v>
      </c>
      <c r="E2" s="74" t="s">
        <v>677</v>
      </c>
      <c r="F2" s="74" t="s">
        <v>677</v>
      </c>
      <c r="G2" s="74" t="s">
        <v>677</v>
      </c>
      <c r="H2" s="74" t="s">
        <v>677</v>
      </c>
      <c r="I2" s="25" t="s">
        <v>677</v>
      </c>
      <c r="J2" s="25" t="s">
        <v>677</v>
      </c>
    </row>
    <row r="3" spans="1:10">
      <c r="A3" t="s">
        <v>55</v>
      </c>
      <c r="H3" s="2"/>
      <c r="I3" s="25"/>
      <c r="J3" s="25"/>
    </row>
    <row r="4" spans="1:10">
      <c r="A4" s="19" t="s">
        <v>786</v>
      </c>
      <c r="B4" s="19" t="s">
        <v>787</v>
      </c>
      <c r="D4" s="12">
        <v>0</v>
      </c>
      <c r="E4" s="12">
        <v>150</v>
      </c>
      <c r="F4" s="12">
        <v>150</v>
      </c>
      <c r="G4" s="58">
        <v>0</v>
      </c>
      <c r="H4" s="75">
        <v>450</v>
      </c>
      <c r="I4" s="67">
        <v>900</v>
      </c>
      <c r="J4" s="32">
        <v>0</v>
      </c>
    </row>
    <row r="5" spans="1:10">
      <c r="A5" s="41" t="s">
        <v>1004</v>
      </c>
      <c r="B5" s="41" t="s">
        <v>645</v>
      </c>
      <c r="D5" s="12">
        <v>0</v>
      </c>
      <c r="E5" s="12">
        <v>182.96</v>
      </c>
      <c r="F5" s="12">
        <v>0</v>
      </c>
      <c r="G5" s="58">
        <v>0</v>
      </c>
      <c r="H5" s="75">
        <v>0</v>
      </c>
      <c r="I5" s="67">
        <v>0</v>
      </c>
      <c r="J5" s="32">
        <v>0</v>
      </c>
    </row>
    <row r="6" spans="1:10">
      <c r="A6" s="19" t="s">
        <v>215</v>
      </c>
      <c r="B6" t="s">
        <v>645</v>
      </c>
      <c r="D6" s="60">
        <f>153888*111%</f>
        <v>170815.68000000002</v>
      </c>
      <c r="E6" s="60">
        <v>172660.91</v>
      </c>
      <c r="F6" s="60">
        <f>140471+100</f>
        <v>140571</v>
      </c>
      <c r="G6" s="60">
        <v>143821</v>
      </c>
      <c r="H6" s="60">
        <v>145334</v>
      </c>
      <c r="I6" s="58">
        <v>104788</v>
      </c>
      <c r="J6" s="12">
        <v>109186</v>
      </c>
    </row>
    <row r="7" spans="1:10">
      <c r="A7" s="19" t="s">
        <v>788</v>
      </c>
      <c r="B7" t="s">
        <v>29</v>
      </c>
      <c r="D7" s="58">
        <f>1065*111%</f>
        <v>1182.1500000000001</v>
      </c>
      <c r="E7" s="58">
        <v>1141.3599999999999</v>
      </c>
      <c r="F7" s="58">
        <v>1065</v>
      </c>
      <c r="G7" s="58">
        <v>909</v>
      </c>
      <c r="H7" s="58">
        <v>875</v>
      </c>
      <c r="I7" s="58">
        <v>554</v>
      </c>
      <c r="J7" s="12">
        <v>545</v>
      </c>
    </row>
    <row r="8" spans="1:10">
      <c r="A8" s="19" t="s">
        <v>779</v>
      </c>
      <c r="B8" s="19" t="s">
        <v>780</v>
      </c>
      <c r="D8" s="58">
        <v>0</v>
      </c>
      <c r="E8" s="58">
        <v>0</v>
      </c>
      <c r="F8" s="58">
        <v>0</v>
      </c>
      <c r="G8" s="58">
        <v>0</v>
      </c>
      <c r="H8" s="58">
        <v>0</v>
      </c>
      <c r="I8" s="58">
        <v>0</v>
      </c>
      <c r="J8" s="32">
        <v>1307</v>
      </c>
    </row>
    <row r="9" spans="1:10">
      <c r="A9" s="41" t="s">
        <v>1005</v>
      </c>
      <c r="B9" t="s">
        <v>824</v>
      </c>
      <c r="D9" s="58">
        <v>10000</v>
      </c>
      <c r="E9" s="58">
        <v>22772.78</v>
      </c>
      <c r="F9" s="58">
        <v>55205</v>
      </c>
      <c r="G9" s="58">
        <v>2500</v>
      </c>
      <c r="H9" s="58">
        <v>3499</v>
      </c>
      <c r="I9" s="58">
        <v>9852</v>
      </c>
      <c r="J9" s="12">
        <v>35792</v>
      </c>
    </row>
    <row r="10" spans="1:10">
      <c r="D10" s="58"/>
      <c r="E10" s="58"/>
      <c r="F10" s="58"/>
      <c r="G10" s="58"/>
      <c r="H10" s="58"/>
      <c r="I10" s="58"/>
      <c r="J10" s="12"/>
    </row>
    <row r="11" spans="1:10">
      <c r="B11" s="38" t="s">
        <v>77</v>
      </c>
      <c r="D11" s="60">
        <f>SUM(D6:D9)</f>
        <v>181997.83000000002</v>
      </c>
      <c r="E11" s="60">
        <f>SUM(E4:E9)</f>
        <v>196908.00999999998</v>
      </c>
      <c r="F11" s="60">
        <f>SUM(F4:F9)</f>
        <v>196991</v>
      </c>
      <c r="G11" s="60">
        <f>SUM(G6:G9)</f>
        <v>147230</v>
      </c>
      <c r="H11" s="60">
        <f>SUM(H4:H9)</f>
        <v>150158</v>
      </c>
      <c r="I11" s="57">
        <f>SUM(I4:I9)</f>
        <v>116094</v>
      </c>
      <c r="J11" s="12">
        <f>SUM(J6:J10)</f>
        <v>146830</v>
      </c>
    </row>
    <row r="12" spans="1:10">
      <c r="A12" t="s">
        <v>108</v>
      </c>
      <c r="D12" s="49"/>
      <c r="E12" s="49"/>
      <c r="F12" s="49"/>
      <c r="G12" s="49"/>
      <c r="H12" s="49"/>
      <c r="I12" s="58"/>
      <c r="J12" s="12"/>
    </row>
    <row r="13" spans="1:10">
      <c r="A13" t="s">
        <v>253</v>
      </c>
      <c r="D13" s="49"/>
      <c r="E13" s="49"/>
      <c r="F13" s="49"/>
      <c r="G13" s="49"/>
      <c r="H13" s="49"/>
      <c r="I13" s="58"/>
      <c r="J13" s="12"/>
    </row>
    <row r="14" spans="1:10">
      <c r="A14" t="s">
        <v>546</v>
      </c>
      <c r="B14" t="s">
        <v>129</v>
      </c>
      <c r="D14" s="60">
        <f>35828*102%</f>
        <v>36544.559999999998</v>
      </c>
      <c r="E14" s="60">
        <v>35880.18</v>
      </c>
      <c r="F14" s="60">
        <v>33646</v>
      </c>
      <c r="G14" s="60">
        <v>33291</v>
      </c>
      <c r="H14" s="60">
        <v>32132</v>
      </c>
      <c r="I14" s="58">
        <v>24686</v>
      </c>
      <c r="J14" s="12">
        <v>24123</v>
      </c>
    </row>
    <row r="15" spans="1:10">
      <c r="A15" t="s">
        <v>547</v>
      </c>
      <c r="B15" t="s">
        <v>130</v>
      </c>
      <c r="D15" s="57">
        <f>(3858*102%)</f>
        <v>3935.16</v>
      </c>
      <c r="E15" s="57">
        <v>3598.59</v>
      </c>
      <c r="F15" s="57">
        <v>3858</v>
      </c>
      <c r="G15" s="57">
        <v>3492</v>
      </c>
      <c r="H15" s="58">
        <v>3639</v>
      </c>
      <c r="I15" s="58">
        <v>3800</v>
      </c>
      <c r="J15" s="12">
        <v>3687</v>
      </c>
    </row>
    <row r="16" spans="1:10">
      <c r="A16" t="s">
        <v>249</v>
      </c>
      <c r="D16" s="58"/>
      <c r="E16" s="58"/>
      <c r="F16" s="58"/>
      <c r="G16" s="58"/>
      <c r="H16" s="58"/>
      <c r="I16" s="58"/>
      <c r="J16" s="12"/>
    </row>
    <row r="17" spans="1:10">
      <c r="A17" t="s">
        <v>548</v>
      </c>
      <c r="B17" t="s">
        <v>251</v>
      </c>
      <c r="D17" s="57">
        <f>0.0725*(D14+D15)</f>
        <v>2934.7797</v>
      </c>
      <c r="E17" s="57">
        <v>2862.16</v>
      </c>
      <c r="F17" s="57">
        <v>2715</v>
      </c>
      <c r="G17" s="57">
        <v>2575</v>
      </c>
      <c r="H17" s="58">
        <v>2418</v>
      </c>
      <c r="I17" s="58">
        <v>1851</v>
      </c>
      <c r="J17" s="12">
        <v>1737</v>
      </c>
    </row>
    <row r="18" spans="1:10">
      <c r="A18" t="s">
        <v>549</v>
      </c>
      <c r="B18" t="s">
        <v>111</v>
      </c>
      <c r="D18" s="57">
        <f>0.062*(D14+D15)</f>
        <v>2509.7426399999999</v>
      </c>
      <c r="E18" s="57">
        <v>2399.33</v>
      </c>
      <c r="F18" s="57">
        <v>2262</v>
      </c>
      <c r="G18" s="57">
        <v>2221</v>
      </c>
      <c r="H18" s="58">
        <v>2172</v>
      </c>
      <c r="I18" s="58">
        <v>1725</v>
      </c>
      <c r="J18" s="12">
        <v>1685</v>
      </c>
    </row>
    <row r="19" spans="1:10">
      <c r="A19" t="s">
        <v>550</v>
      </c>
      <c r="B19" t="s">
        <v>113</v>
      </c>
      <c r="D19" s="57">
        <f>0.0145*(D14+D15)</f>
        <v>586.95594000000006</v>
      </c>
      <c r="E19" s="57">
        <v>561.05999999999995</v>
      </c>
      <c r="F19" s="57">
        <v>529</v>
      </c>
      <c r="G19" s="57">
        <v>519</v>
      </c>
      <c r="H19" s="58">
        <v>508</v>
      </c>
      <c r="I19" s="58">
        <v>403</v>
      </c>
      <c r="J19" s="12">
        <v>394</v>
      </c>
    </row>
    <row r="20" spans="1:10">
      <c r="A20" t="s">
        <v>244</v>
      </c>
      <c r="D20" s="58"/>
      <c r="E20" s="58"/>
      <c r="F20" s="58"/>
      <c r="G20" s="58"/>
      <c r="H20" s="58"/>
      <c r="I20" s="58"/>
      <c r="J20" s="12"/>
    </row>
    <row r="21" spans="1:10">
      <c r="A21" t="s">
        <v>551</v>
      </c>
      <c r="B21" t="s">
        <v>246</v>
      </c>
      <c r="D21" s="60">
        <v>9402</v>
      </c>
      <c r="E21" s="60">
        <v>9401.93</v>
      </c>
      <c r="F21" s="60">
        <v>9496</v>
      </c>
      <c r="G21" s="60">
        <v>8689</v>
      </c>
      <c r="H21" s="60">
        <v>8416</v>
      </c>
      <c r="I21" s="58">
        <v>6007</v>
      </c>
      <c r="J21" s="12">
        <v>5111</v>
      </c>
    </row>
    <row r="22" spans="1:10">
      <c r="A22" t="s">
        <v>552</v>
      </c>
      <c r="B22" t="s">
        <v>248</v>
      </c>
      <c r="D22" s="60">
        <v>936</v>
      </c>
      <c r="E22" s="60">
        <v>416.84</v>
      </c>
      <c r="F22" s="60">
        <v>645</v>
      </c>
      <c r="G22" s="60">
        <v>638</v>
      </c>
      <c r="H22" s="60">
        <v>546</v>
      </c>
      <c r="I22" s="58">
        <v>349</v>
      </c>
      <c r="J22" s="12">
        <v>319</v>
      </c>
    </row>
    <row r="23" spans="1:10">
      <c r="A23" s="41" t="s">
        <v>1009</v>
      </c>
      <c r="D23" s="60"/>
      <c r="E23" s="60"/>
      <c r="F23" s="60"/>
      <c r="G23" s="60"/>
      <c r="H23" s="60"/>
      <c r="I23" s="58"/>
      <c r="J23" s="12"/>
    </row>
    <row r="24" spans="1:10">
      <c r="A24" s="41" t="s">
        <v>1010</v>
      </c>
      <c r="B24" s="41" t="s">
        <v>996</v>
      </c>
      <c r="D24" s="60">
        <v>0</v>
      </c>
      <c r="E24" s="60">
        <v>1320.76</v>
      </c>
      <c r="F24" s="60">
        <v>0</v>
      </c>
      <c r="G24" s="60">
        <v>0</v>
      </c>
      <c r="H24" s="60">
        <v>0</v>
      </c>
      <c r="I24" s="58">
        <v>0</v>
      </c>
      <c r="J24" s="12">
        <v>0</v>
      </c>
    </row>
    <row r="25" spans="1:10">
      <c r="A25" t="s">
        <v>58</v>
      </c>
      <c r="D25" s="58"/>
      <c r="E25" s="58"/>
      <c r="F25" s="58"/>
      <c r="G25" s="58"/>
      <c r="H25" s="58"/>
      <c r="I25" s="58"/>
      <c r="J25" s="12"/>
    </row>
    <row r="26" spans="1:10">
      <c r="A26" t="s">
        <v>553</v>
      </c>
      <c r="B26" t="s">
        <v>243</v>
      </c>
      <c r="D26" s="57">
        <f>1115*106%</f>
        <v>1181.9000000000001</v>
      </c>
      <c r="E26" s="57">
        <v>1301</v>
      </c>
      <c r="F26" s="57">
        <v>3194</v>
      </c>
      <c r="G26" s="57">
        <v>1730</v>
      </c>
      <c r="H26" s="58">
        <v>1911</v>
      </c>
      <c r="I26" s="58">
        <v>294</v>
      </c>
      <c r="J26" s="12">
        <v>1603</v>
      </c>
    </row>
    <row r="27" spans="1:10">
      <c r="A27" t="s">
        <v>44</v>
      </c>
      <c r="D27" s="58"/>
      <c r="E27" s="58"/>
      <c r="F27" s="58"/>
      <c r="G27" s="58"/>
      <c r="H27" s="58"/>
      <c r="I27" s="58"/>
      <c r="J27" s="12"/>
    </row>
    <row r="28" spans="1:10">
      <c r="A28" s="19" t="s">
        <v>770</v>
      </c>
      <c r="B28" t="s">
        <v>57</v>
      </c>
      <c r="D28" s="58">
        <v>100</v>
      </c>
      <c r="E28" s="58">
        <v>16.54</v>
      </c>
      <c r="F28" s="58">
        <v>0</v>
      </c>
      <c r="G28" s="58">
        <v>0</v>
      </c>
      <c r="H28" s="58">
        <v>3</v>
      </c>
      <c r="I28" s="58">
        <f>72+15</f>
        <v>87</v>
      </c>
      <c r="J28" s="12">
        <v>39</v>
      </c>
    </row>
    <row r="29" spans="1:10">
      <c r="A29" t="s">
        <v>208</v>
      </c>
      <c r="D29" s="58"/>
      <c r="E29" s="58"/>
      <c r="F29" s="58"/>
      <c r="G29" s="58"/>
      <c r="H29" s="58"/>
      <c r="I29" s="58"/>
      <c r="J29" s="12"/>
    </row>
    <row r="30" spans="1:10">
      <c r="A30" t="s">
        <v>554</v>
      </c>
      <c r="B30" t="s">
        <v>210</v>
      </c>
      <c r="D30" s="58">
        <v>200</v>
      </c>
      <c r="E30" s="58">
        <v>2.93</v>
      </c>
      <c r="F30" s="58">
        <v>150</v>
      </c>
      <c r="G30" s="58">
        <v>5</v>
      </c>
      <c r="H30" s="58">
        <v>60</v>
      </c>
      <c r="I30" s="58">
        <v>0</v>
      </c>
      <c r="J30" s="12">
        <v>0</v>
      </c>
    </row>
    <row r="31" spans="1:10">
      <c r="A31" t="s">
        <v>555</v>
      </c>
      <c r="B31" t="s">
        <v>212</v>
      </c>
      <c r="D31" s="58">
        <v>2000</v>
      </c>
      <c r="E31" s="58">
        <v>2528.38</v>
      </c>
      <c r="F31" s="58">
        <v>1985</v>
      </c>
      <c r="G31" s="58">
        <v>1794</v>
      </c>
      <c r="H31" s="58">
        <v>1293</v>
      </c>
      <c r="I31" s="58">
        <v>1964</v>
      </c>
      <c r="J31" s="12">
        <v>2400</v>
      </c>
    </row>
    <row r="32" spans="1:10">
      <c r="A32" t="s">
        <v>556</v>
      </c>
      <c r="B32" t="s">
        <v>234</v>
      </c>
      <c r="D32" s="58">
        <v>300</v>
      </c>
      <c r="E32" s="58">
        <v>0</v>
      </c>
      <c r="F32" s="58">
        <v>222</v>
      </c>
      <c r="G32" s="58">
        <v>272</v>
      </c>
      <c r="H32" s="58">
        <v>0</v>
      </c>
      <c r="I32" s="58">
        <v>0</v>
      </c>
      <c r="J32" s="12">
        <v>0</v>
      </c>
    </row>
    <row r="33" spans="1:12">
      <c r="A33" t="s">
        <v>557</v>
      </c>
      <c r="B33" t="s">
        <v>42</v>
      </c>
      <c r="D33" s="58">
        <v>8500</v>
      </c>
      <c r="E33" s="58">
        <v>5663.22</v>
      </c>
      <c r="F33" s="58">
        <v>8395</v>
      </c>
      <c r="G33" s="58">
        <v>4291</v>
      </c>
      <c r="H33" s="58">
        <v>3866</v>
      </c>
      <c r="I33" s="58">
        <v>4366</v>
      </c>
      <c r="J33" s="12">
        <v>1901</v>
      </c>
    </row>
    <row r="34" spans="1:12">
      <c r="A34" t="s">
        <v>558</v>
      </c>
      <c r="B34" t="s">
        <v>43</v>
      </c>
      <c r="D34" s="58">
        <v>5800</v>
      </c>
      <c r="E34" s="58">
        <v>8593.7099999999991</v>
      </c>
      <c r="F34" s="58">
        <v>5389</v>
      </c>
      <c r="G34" s="58">
        <v>2435</v>
      </c>
      <c r="H34" s="58">
        <v>4936</v>
      </c>
      <c r="I34" s="58">
        <v>9168</v>
      </c>
      <c r="J34" s="12">
        <v>10762</v>
      </c>
    </row>
    <row r="35" spans="1:12">
      <c r="A35" t="s">
        <v>28</v>
      </c>
      <c r="D35" s="58"/>
      <c r="E35" s="58"/>
      <c r="F35" s="58"/>
      <c r="G35" s="58"/>
      <c r="H35" s="58"/>
      <c r="I35" s="58"/>
      <c r="J35" s="12"/>
    </row>
    <row r="36" spans="1:12">
      <c r="A36" t="s">
        <v>559</v>
      </c>
      <c r="B36" t="s">
        <v>199</v>
      </c>
      <c r="D36" s="58">
        <v>6000</v>
      </c>
      <c r="E36" s="58">
        <v>1548.38</v>
      </c>
      <c r="F36" s="58">
        <v>21280</v>
      </c>
      <c r="G36" s="58">
        <v>1716</v>
      </c>
      <c r="H36" s="58">
        <v>2711</v>
      </c>
      <c r="I36" s="58">
        <v>3540</v>
      </c>
      <c r="J36" s="12">
        <v>5711</v>
      </c>
    </row>
    <row r="37" spans="1:12">
      <c r="A37" t="s">
        <v>560</v>
      </c>
      <c r="B37" t="s">
        <v>200</v>
      </c>
      <c r="D37" s="58">
        <v>300</v>
      </c>
      <c r="E37" s="58">
        <v>0</v>
      </c>
      <c r="F37" s="58">
        <v>0</v>
      </c>
      <c r="G37" s="58">
        <v>0</v>
      </c>
      <c r="H37" s="58">
        <v>0</v>
      </c>
      <c r="I37" s="58">
        <v>0</v>
      </c>
      <c r="J37" s="12">
        <v>0</v>
      </c>
    </row>
    <row r="38" spans="1:12">
      <c r="A38" t="s">
        <v>561</v>
      </c>
      <c r="B38" t="s">
        <v>202</v>
      </c>
      <c r="D38" s="58">
        <v>100</v>
      </c>
      <c r="E38" s="58">
        <v>0</v>
      </c>
      <c r="F38" s="58">
        <v>20</v>
      </c>
      <c r="G38" s="58">
        <v>0</v>
      </c>
      <c r="H38" s="58">
        <v>505</v>
      </c>
      <c r="I38" s="58">
        <v>1615</v>
      </c>
      <c r="J38" s="12">
        <v>0</v>
      </c>
    </row>
    <row r="39" spans="1:12">
      <c r="A39" s="19" t="s">
        <v>771</v>
      </c>
      <c r="B39" t="s">
        <v>203</v>
      </c>
      <c r="D39" s="58">
        <v>100</v>
      </c>
      <c r="E39" s="58">
        <v>0</v>
      </c>
      <c r="F39" s="58">
        <v>101</v>
      </c>
      <c r="G39" s="58">
        <v>0</v>
      </c>
      <c r="H39" s="58">
        <v>0</v>
      </c>
      <c r="I39" s="58">
        <v>505</v>
      </c>
      <c r="J39" s="12">
        <v>1725</v>
      </c>
    </row>
    <row r="40" spans="1:12">
      <c r="A40" t="s">
        <v>562</v>
      </c>
      <c r="B40" t="s">
        <v>204</v>
      </c>
      <c r="D40" s="58">
        <v>50</v>
      </c>
      <c r="E40" s="58">
        <v>0</v>
      </c>
      <c r="F40" s="58">
        <v>0</v>
      </c>
      <c r="G40" s="58">
        <v>410</v>
      </c>
      <c r="H40" s="58">
        <v>0</v>
      </c>
      <c r="I40" s="58">
        <v>0</v>
      </c>
      <c r="J40" s="12">
        <v>0</v>
      </c>
    </row>
    <row r="41" spans="1:12">
      <c r="A41" t="s">
        <v>898</v>
      </c>
      <c r="B41" t="s">
        <v>206</v>
      </c>
      <c r="D41" s="58">
        <v>100</v>
      </c>
      <c r="E41" s="58">
        <v>0</v>
      </c>
      <c r="F41" s="58">
        <v>76</v>
      </c>
      <c r="G41" s="58">
        <v>43</v>
      </c>
      <c r="H41" s="58">
        <v>0</v>
      </c>
      <c r="I41" s="58">
        <v>0</v>
      </c>
      <c r="J41" s="12">
        <v>0</v>
      </c>
    </row>
    <row r="42" spans="1:12">
      <c r="A42" t="s">
        <v>563</v>
      </c>
      <c r="B42" t="s">
        <v>207</v>
      </c>
      <c r="D42" s="58">
        <v>1500</v>
      </c>
      <c r="E42" s="58">
        <v>56.57</v>
      </c>
      <c r="F42" s="58">
        <v>5437</v>
      </c>
      <c r="G42" s="58">
        <v>318</v>
      </c>
      <c r="H42" s="58">
        <f>117+24</f>
        <v>141</v>
      </c>
      <c r="I42" s="58">
        <v>622</v>
      </c>
      <c r="J42" s="12">
        <v>2461</v>
      </c>
    </row>
    <row r="43" spans="1:12">
      <c r="A43" t="s">
        <v>20</v>
      </c>
      <c r="D43" s="58"/>
      <c r="E43" s="58"/>
      <c r="F43" s="58"/>
      <c r="G43" s="58"/>
      <c r="H43" s="58"/>
      <c r="I43" s="58"/>
      <c r="J43" s="12"/>
      <c r="L43" s="41"/>
    </row>
    <row r="44" spans="1:12">
      <c r="A44" t="s">
        <v>564</v>
      </c>
      <c r="B44" t="s">
        <v>27</v>
      </c>
      <c r="D44" s="58">
        <v>0</v>
      </c>
      <c r="E44" s="58">
        <v>0</v>
      </c>
      <c r="F44" s="58">
        <v>0</v>
      </c>
      <c r="G44" s="58">
        <v>0</v>
      </c>
      <c r="H44" s="58">
        <v>0</v>
      </c>
      <c r="I44" s="58">
        <v>0</v>
      </c>
      <c r="J44" s="12">
        <v>0</v>
      </c>
    </row>
    <row r="45" spans="1:12">
      <c r="A45" t="s">
        <v>9</v>
      </c>
      <c r="D45" s="58"/>
      <c r="E45" s="58"/>
      <c r="F45" s="58"/>
      <c r="G45" s="58"/>
      <c r="H45" s="58"/>
      <c r="I45" s="58"/>
      <c r="J45" s="12"/>
    </row>
    <row r="46" spans="1:12">
      <c r="A46" t="s">
        <v>565</v>
      </c>
      <c r="B46" t="s">
        <v>11</v>
      </c>
      <c r="D46" s="60">
        <f>1932*102%</f>
        <v>1970.64</v>
      </c>
      <c r="E46" s="60">
        <v>1893</v>
      </c>
      <c r="F46" s="60">
        <v>1893</v>
      </c>
      <c r="G46" s="60">
        <v>1622</v>
      </c>
      <c r="H46" s="60">
        <v>1578</v>
      </c>
      <c r="I46" s="58">
        <v>1578</v>
      </c>
      <c r="J46" s="12">
        <v>1530</v>
      </c>
    </row>
    <row r="47" spans="1:12">
      <c r="A47" t="s">
        <v>566</v>
      </c>
      <c r="B47" t="s">
        <v>13</v>
      </c>
      <c r="D47" s="57">
        <v>20000</v>
      </c>
      <c r="E47" s="57">
        <v>21641.16</v>
      </c>
      <c r="F47" s="57">
        <v>19563</v>
      </c>
      <c r="G47" s="57">
        <v>7972</v>
      </c>
      <c r="H47" s="58">
        <v>6316</v>
      </c>
      <c r="I47" s="58">
        <v>6567</v>
      </c>
      <c r="J47" s="12">
        <v>4799</v>
      </c>
    </row>
    <row r="48" spans="1:12">
      <c r="A48" t="s">
        <v>567</v>
      </c>
      <c r="B48" t="s">
        <v>17</v>
      </c>
      <c r="D48" s="58">
        <v>1500</v>
      </c>
      <c r="E48" s="58">
        <v>0</v>
      </c>
      <c r="F48" s="58">
        <v>0</v>
      </c>
      <c r="G48" s="58">
        <v>0</v>
      </c>
      <c r="H48" s="58">
        <v>0</v>
      </c>
      <c r="I48" s="58">
        <v>0</v>
      </c>
      <c r="J48" s="12">
        <v>1750</v>
      </c>
    </row>
    <row r="49" spans="1:10">
      <c r="A49" t="s">
        <v>568</v>
      </c>
      <c r="B49" t="s">
        <v>125</v>
      </c>
      <c r="D49" s="57">
        <v>500</v>
      </c>
      <c r="E49" s="57">
        <v>615.98</v>
      </c>
      <c r="F49" s="57">
        <v>470</v>
      </c>
      <c r="G49" s="57">
        <v>491</v>
      </c>
      <c r="H49" s="58">
        <v>48</v>
      </c>
      <c r="I49" s="58">
        <v>0</v>
      </c>
      <c r="J49" s="12">
        <v>0</v>
      </c>
    </row>
    <row r="50" spans="1:10">
      <c r="A50" t="s">
        <v>8</v>
      </c>
      <c r="D50" s="58"/>
      <c r="E50" s="58"/>
      <c r="F50" s="58"/>
      <c r="G50" s="58"/>
      <c r="H50" s="58"/>
      <c r="I50" s="58"/>
      <c r="J50" s="12"/>
    </row>
    <row r="51" spans="1:10">
      <c r="A51" t="s">
        <v>569</v>
      </c>
      <c r="B51" t="s">
        <v>119</v>
      </c>
      <c r="D51" s="58">
        <v>600</v>
      </c>
      <c r="E51" s="58">
        <v>577.19000000000005</v>
      </c>
      <c r="F51" s="58">
        <v>558</v>
      </c>
      <c r="G51" s="58">
        <v>574</v>
      </c>
      <c r="H51" s="58">
        <v>574</v>
      </c>
      <c r="I51" s="58">
        <v>569</v>
      </c>
      <c r="J51" s="12">
        <v>565</v>
      </c>
    </row>
    <row r="52" spans="1:10">
      <c r="A52" s="41" t="s">
        <v>1011</v>
      </c>
      <c r="B52" s="41" t="s">
        <v>120</v>
      </c>
      <c r="D52" s="58">
        <v>0</v>
      </c>
      <c r="E52" s="58">
        <v>2.8</v>
      </c>
      <c r="F52" s="58">
        <v>0</v>
      </c>
      <c r="G52" s="58">
        <v>0</v>
      </c>
      <c r="H52" s="58">
        <v>0</v>
      </c>
      <c r="I52" s="58">
        <v>0</v>
      </c>
      <c r="J52" s="12">
        <v>0</v>
      </c>
    </row>
    <row r="53" spans="1:10">
      <c r="A53" t="s">
        <v>193</v>
      </c>
      <c r="D53" s="58"/>
      <c r="E53" s="58"/>
      <c r="F53" s="58"/>
      <c r="G53" s="58"/>
      <c r="H53" s="58"/>
      <c r="I53" s="58"/>
      <c r="J53" s="12"/>
    </row>
    <row r="54" spans="1:10">
      <c r="A54" t="s">
        <v>570</v>
      </c>
      <c r="B54" t="s">
        <v>195</v>
      </c>
      <c r="D54" s="58">
        <v>500</v>
      </c>
      <c r="E54" s="58">
        <v>0</v>
      </c>
      <c r="F54" s="58">
        <f>88+364</f>
        <v>452</v>
      </c>
      <c r="G54" s="58">
        <v>258</v>
      </c>
      <c r="H54" s="58">
        <v>0</v>
      </c>
      <c r="I54" s="58">
        <v>0</v>
      </c>
      <c r="J54" s="12">
        <v>177</v>
      </c>
    </row>
    <row r="55" spans="1:10">
      <c r="A55" t="s">
        <v>180</v>
      </c>
      <c r="D55" s="58"/>
      <c r="E55" s="58"/>
      <c r="F55" s="58"/>
      <c r="G55" s="58"/>
      <c r="H55" s="58"/>
      <c r="I55" s="58"/>
      <c r="J55" s="12"/>
    </row>
    <row r="56" spans="1:10">
      <c r="A56" t="s">
        <v>571</v>
      </c>
      <c r="B56" t="s">
        <v>183</v>
      </c>
      <c r="D56" s="58">
        <v>0</v>
      </c>
      <c r="E56" s="58">
        <v>0</v>
      </c>
      <c r="F56" s="58">
        <v>0</v>
      </c>
      <c r="G56" s="58">
        <v>404</v>
      </c>
      <c r="H56" s="58">
        <v>0</v>
      </c>
      <c r="I56" s="58">
        <v>0</v>
      </c>
      <c r="J56" s="12">
        <v>0</v>
      </c>
    </row>
    <row r="57" spans="1:10">
      <c r="A57" s="19" t="s">
        <v>173</v>
      </c>
      <c r="D57" s="58"/>
      <c r="E57" s="58"/>
      <c r="F57" s="58"/>
      <c r="G57" s="58"/>
      <c r="H57" s="58"/>
      <c r="I57" s="58"/>
      <c r="J57" s="12"/>
    </row>
    <row r="58" spans="1:10">
      <c r="A58" t="s">
        <v>572</v>
      </c>
      <c r="B58" t="s">
        <v>176</v>
      </c>
      <c r="D58" s="57">
        <f>2893*107%</f>
        <v>3095.51</v>
      </c>
      <c r="E58" s="57">
        <v>2893</v>
      </c>
      <c r="F58" s="57">
        <v>2049</v>
      </c>
      <c r="G58" s="57">
        <v>2782</v>
      </c>
      <c r="H58" s="58">
        <v>2736</v>
      </c>
      <c r="I58" s="58">
        <v>2646</v>
      </c>
      <c r="J58" s="12">
        <v>2512</v>
      </c>
    </row>
    <row r="59" spans="1:10">
      <c r="A59" t="s">
        <v>573</v>
      </c>
      <c r="B59" t="s">
        <v>177</v>
      </c>
      <c r="D59" s="57">
        <f>396*105%</f>
        <v>415.8</v>
      </c>
      <c r="E59" s="57">
        <v>396</v>
      </c>
      <c r="F59" s="57">
        <v>303</v>
      </c>
      <c r="G59" s="57">
        <v>416</v>
      </c>
      <c r="H59" s="58">
        <v>442</v>
      </c>
      <c r="I59" s="58">
        <v>475</v>
      </c>
      <c r="J59" s="12">
        <v>236</v>
      </c>
    </row>
    <row r="60" spans="1:10">
      <c r="A60" t="s">
        <v>163</v>
      </c>
      <c r="D60" s="58"/>
      <c r="E60" s="58"/>
      <c r="F60" s="58"/>
      <c r="G60" s="58"/>
      <c r="H60" s="58"/>
      <c r="I60" s="58"/>
      <c r="J60" s="12"/>
    </row>
    <row r="61" spans="1:10">
      <c r="A61" t="s">
        <v>574</v>
      </c>
      <c r="B61" t="s">
        <v>164</v>
      </c>
      <c r="D61" s="57">
        <f>28854*109%</f>
        <v>31450.86</v>
      </c>
      <c r="E61" s="57">
        <v>32300.3</v>
      </c>
      <c r="F61" s="57">
        <v>27347</v>
      </c>
      <c r="G61" s="57">
        <v>29740</v>
      </c>
      <c r="H61" s="58">
        <v>28271</v>
      </c>
      <c r="I61" s="58">
        <v>24293</v>
      </c>
      <c r="J61" s="12">
        <v>24206</v>
      </c>
    </row>
    <row r="62" spans="1:10">
      <c r="A62" t="s">
        <v>575</v>
      </c>
      <c r="B62" t="s">
        <v>165</v>
      </c>
      <c r="D62" s="57">
        <f>12852*111%</f>
        <v>14265.720000000001</v>
      </c>
      <c r="E62" s="57">
        <v>32767.33</v>
      </c>
      <c r="F62" s="57">
        <v>12852</v>
      </c>
      <c r="G62" s="57">
        <v>18220</v>
      </c>
      <c r="H62" s="58">
        <v>18805</v>
      </c>
      <c r="I62" s="58">
        <v>13011</v>
      </c>
      <c r="J62" s="12">
        <v>12863</v>
      </c>
    </row>
    <row r="63" spans="1:10">
      <c r="A63" t="s">
        <v>576</v>
      </c>
      <c r="B63" t="s">
        <v>166</v>
      </c>
      <c r="D63" s="58">
        <v>1010</v>
      </c>
      <c r="E63" s="58">
        <v>822.62</v>
      </c>
      <c r="F63" s="58">
        <v>948</v>
      </c>
      <c r="G63" s="58">
        <v>794</v>
      </c>
      <c r="H63" s="58">
        <v>1144</v>
      </c>
      <c r="I63" s="58">
        <v>1183</v>
      </c>
      <c r="J63" s="12">
        <v>1039</v>
      </c>
    </row>
    <row r="64" spans="1:10">
      <c r="A64" s="41" t="s">
        <v>1006</v>
      </c>
      <c r="D64" s="58"/>
      <c r="E64" s="58"/>
      <c r="F64" s="58"/>
      <c r="G64" s="58"/>
      <c r="H64" s="58"/>
      <c r="I64" s="58"/>
      <c r="J64" s="12"/>
    </row>
    <row r="65" spans="1:10">
      <c r="A65" s="41" t="s">
        <v>1007</v>
      </c>
      <c r="B65" s="41" t="s">
        <v>1008</v>
      </c>
      <c r="D65" s="58">
        <v>0</v>
      </c>
      <c r="E65" s="58">
        <v>8888.11</v>
      </c>
      <c r="F65" s="58">
        <v>0</v>
      </c>
      <c r="G65" s="58">
        <v>0</v>
      </c>
      <c r="H65" s="58">
        <v>0</v>
      </c>
      <c r="I65" s="58">
        <v>0</v>
      </c>
      <c r="J65" s="12">
        <v>0</v>
      </c>
    </row>
    <row r="66" spans="1:10">
      <c r="A66" t="s">
        <v>157</v>
      </c>
      <c r="D66" s="58"/>
      <c r="E66" s="58"/>
      <c r="F66" s="58"/>
      <c r="G66" s="58"/>
      <c r="H66" s="58"/>
      <c r="I66" s="58"/>
      <c r="J66" s="12"/>
    </row>
    <row r="67" spans="1:10">
      <c r="A67" t="s">
        <v>577</v>
      </c>
      <c r="B67" t="s">
        <v>158</v>
      </c>
      <c r="D67" s="60">
        <v>2500</v>
      </c>
      <c r="E67" s="60">
        <v>0</v>
      </c>
      <c r="F67" s="60">
        <v>9040</v>
      </c>
      <c r="G67" s="60">
        <v>0</v>
      </c>
      <c r="H67" s="60">
        <v>77</v>
      </c>
      <c r="I67" s="58">
        <v>0</v>
      </c>
      <c r="J67" s="12">
        <v>0</v>
      </c>
    </row>
    <row r="68" spans="1:10">
      <c r="A68" t="s">
        <v>578</v>
      </c>
      <c r="B68" t="s">
        <v>159</v>
      </c>
      <c r="D68" s="60">
        <v>5000</v>
      </c>
      <c r="E68" s="60">
        <v>0</v>
      </c>
      <c r="F68" s="60">
        <v>6500</v>
      </c>
      <c r="G68" s="60">
        <v>675</v>
      </c>
      <c r="H68" s="60">
        <v>0</v>
      </c>
      <c r="I68" s="63">
        <v>0</v>
      </c>
      <c r="J68" s="12">
        <v>0</v>
      </c>
    </row>
    <row r="69" spans="1:10">
      <c r="A69" t="s">
        <v>579</v>
      </c>
      <c r="B69" t="s">
        <v>160</v>
      </c>
      <c r="D69" s="57">
        <v>5000</v>
      </c>
      <c r="E69" s="57">
        <v>5712.82</v>
      </c>
      <c r="F69" s="57">
        <v>12395</v>
      </c>
      <c r="G69" s="57">
        <v>0</v>
      </c>
      <c r="H69" s="58">
        <v>12653</v>
      </c>
      <c r="I69" s="58">
        <v>0</v>
      </c>
      <c r="J69" s="12">
        <v>8071</v>
      </c>
    </row>
    <row r="70" spans="1:10">
      <c r="A70" t="s">
        <v>580</v>
      </c>
      <c r="B70" t="s">
        <v>161</v>
      </c>
      <c r="D70" s="58">
        <v>2000</v>
      </c>
      <c r="E70" s="58">
        <v>0</v>
      </c>
      <c r="F70" s="58">
        <v>0</v>
      </c>
      <c r="G70" s="58">
        <v>17287</v>
      </c>
      <c r="H70" s="58">
        <v>0</v>
      </c>
      <c r="I70" s="58">
        <v>5138</v>
      </c>
      <c r="J70" s="12">
        <v>0</v>
      </c>
    </row>
    <row r="71" spans="1:10">
      <c r="A71" t="s">
        <v>151</v>
      </c>
      <c r="D71" s="58"/>
      <c r="E71" s="58"/>
      <c r="F71" s="58"/>
      <c r="G71" s="58"/>
      <c r="H71" s="58"/>
      <c r="I71" s="58"/>
      <c r="J71" s="12"/>
    </row>
    <row r="72" spans="1:10">
      <c r="A72" t="s">
        <v>581</v>
      </c>
      <c r="B72" t="s">
        <v>125</v>
      </c>
      <c r="D72" s="58"/>
      <c r="E72" s="58"/>
      <c r="F72" s="58"/>
      <c r="G72" s="58"/>
      <c r="H72" s="58"/>
      <c r="I72" s="58"/>
      <c r="J72" s="12"/>
    </row>
    <row r="73" spans="1:10">
      <c r="A73" t="s">
        <v>148</v>
      </c>
      <c r="D73" s="58"/>
      <c r="E73" s="58"/>
      <c r="F73" s="58"/>
      <c r="G73" s="58"/>
      <c r="H73" s="58"/>
      <c r="I73" s="58"/>
      <c r="J73" s="12"/>
    </row>
    <row r="74" spans="1:10">
      <c r="A74" t="s">
        <v>582</v>
      </c>
      <c r="B74" t="s">
        <v>149</v>
      </c>
      <c r="D74" s="58">
        <v>4710</v>
      </c>
      <c r="E74" s="58">
        <v>0</v>
      </c>
      <c r="F74" s="58">
        <v>4625</v>
      </c>
      <c r="G74" s="58">
        <v>0</v>
      </c>
      <c r="H74" s="58">
        <f>1495/2</f>
        <v>747.5</v>
      </c>
      <c r="I74" s="63">
        <v>0</v>
      </c>
      <c r="J74" s="12">
        <v>0</v>
      </c>
    </row>
    <row r="75" spans="1:10">
      <c r="A75" t="s">
        <v>141</v>
      </c>
      <c r="D75" s="58"/>
      <c r="E75" s="58"/>
      <c r="F75" s="58"/>
      <c r="G75" s="58"/>
      <c r="H75" s="58"/>
      <c r="I75" s="58"/>
      <c r="J75" s="12"/>
    </row>
    <row r="76" spans="1:10">
      <c r="A76" t="s">
        <v>583</v>
      </c>
      <c r="B76" t="s">
        <v>124</v>
      </c>
      <c r="D76" s="58">
        <v>1550</v>
      </c>
      <c r="E76" s="58">
        <v>1482</v>
      </c>
      <c r="F76" s="58">
        <v>1450</v>
      </c>
      <c r="G76" s="58">
        <v>1548</v>
      </c>
      <c r="H76" s="58">
        <v>1450</v>
      </c>
      <c r="I76" s="58">
        <v>29</v>
      </c>
      <c r="J76" s="12">
        <v>1496</v>
      </c>
    </row>
    <row r="77" spans="1:10">
      <c r="A77" t="s">
        <v>584</v>
      </c>
      <c r="B77" t="s">
        <v>822</v>
      </c>
      <c r="D77" s="58">
        <v>100</v>
      </c>
      <c r="E77" s="58">
        <v>0</v>
      </c>
      <c r="F77" s="58">
        <v>0</v>
      </c>
      <c r="G77" s="58">
        <v>0</v>
      </c>
      <c r="H77" s="58">
        <v>0</v>
      </c>
      <c r="I77" s="58">
        <v>0</v>
      </c>
      <c r="J77" s="12">
        <v>0</v>
      </c>
    </row>
    <row r="78" spans="1:10">
      <c r="A78" t="s">
        <v>585</v>
      </c>
      <c r="B78" t="s">
        <v>122</v>
      </c>
      <c r="D78" s="58">
        <v>500</v>
      </c>
      <c r="E78" s="58">
        <v>699.89</v>
      </c>
      <c r="F78" s="58">
        <v>638</v>
      </c>
      <c r="G78" s="58">
        <v>362</v>
      </c>
      <c r="H78" s="58">
        <v>550</v>
      </c>
      <c r="I78" s="58">
        <v>17</v>
      </c>
      <c r="J78" s="12">
        <v>65</v>
      </c>
    </row>
    <row r="79" spans="1:10">
      <c r="A79" t="s">
        <v>586</v>
      </c>
      <c r="B79" t="s">
        <v>142</v>
      </c>
      <c r="D79" s="58">
        <v>100</v>
      </c>
      <c r="E79" s="58">
        <v>0</v>
      </c>
      <c r="F79" s="58">
        <v>17</v>
      </c>
      <c r="G79" s="58">
        <v>22</v>
      </c>
      <c r="H79" s="58">
        <v>14</v>
      </c>
      <c r="I79" s="58">
        <v>0</v>
      </c>
      <c r="J79" s="12">
        <v>0</v>
      </c>
    </row>
    <row r="80" spans="1:10">
      <c r="D80" s="58"/>
      <c r="E80" s="58"/>
      <c r="F80" s="58"/>
      <c r="G80" s="58"/>
      <c r="H80" s="58"/>
      <c r="I80" s="58"/>
      <c r="J80" s="12"/>
    </row>
    <row r="81" spans="1:10">
      <c r="B81" s="38" t="s">
        <v>77</v>
      </c>
      <c r="D81" s="60">
        <f t="shared" ref="D81" si="0">SUM(D14:D79)</f>
        <v>179849.62828</v>
      </c>
      <c r="E81" s="60">
        <f t="shared" ref="E81:J81" si="1">SUM(E14:E79)</f>
        <v>186843.78000000003</v>
      </c>
      <c r="F81" s="60">
        <f t="shared" si="1"/>
        <v>200500</v>
      </c>
      <c r="G81" s="60">
        <f t="shared" si="1"/>
        <v>147606</v>
      </c>
      <c r="H81" s="60">
        <f t="shared" si="1"/>
        <v>140662.5</v>
      </c>
      <c r="I81" s="57">
        <f t="shared" si="1"/>
        <v>116488</v>
      </c>
      <c r="J81" s="12">
        <f t="shared" si="1"/>
        <v>122967</v>
      </c>
    </row>
    <row r="82" spans="1:10">
      <c r="A82" s="19"/>
      <c r="I82" s="17"/>
      <c r="J82" s="13"/>
    </row>
    <row r="83" spans="1:10">
      <c r="B83" s="97" t="s">
        <v>928</v>
      </c>
      <c r="D83" s="12">
        <v>44097.599999999999</v>
      </c>
      <c r="E83" s="12">
        <v>202738.65</v>
      </c>
      <c r="F83" s="12">
        <v>36595</v>
      </c>
      <c r="G83" s="12">
        <v>36748</v>
      </c>
      <c r="H83" s="12"/>
      <c r="I83" s="12"/>
      <c r="J83" s="12"/>
    </row>
  </sheetData>
  <phoneticPr fontId="2" type="noConversion"/>
  <pageMargins left="0.25" right="0.25" top="0.75" bottom="0.75" header="0.3" footer="0.3"/>
  <pageSetup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dimension ref="A1:L81"/>
  <sheetViews>
    <sheetView topLeftCell="A61" zoomScaleNormal="100" workbookViewId="0">
      <selection activeCell="J1" sqref="J1"/>
    </sheetView>
  </sheetViews>
  <sheetFormatPr defaultRowHeight="12.75"/>
  <cols>
    <col min="1" max="1" width="18.42578125" customWidth="1"/>
    <col min="2" max="2" width="27.42578125" customWidth="1"/>
    <col min="3" max="3" width="5.7109375" customWidth="1"/>
    <col min="4" max="4" width="11.7109375" customWidth="1"/>
    <col min="5" max="6" width="10.7109375" customWidth="1"/>
    <col min="7" max="7" width="11.28515625" customWidth="1"/>
    <col min="8" max="10" width="10.7109375" customWidth="1"/>
  </cols>
  <sheetData>
    <row r="1" spans="1:10" ht="15.75">
      <c r="B1" s="20" t="s">
        <v>2</v>
      </c>
      <c r="D1" s="21">
        <v>2013</v>
      </c>
      <c r="E1" s="109">
        <v>2012</v>
      </c>
      <c r="F1" s="89">
        <v>2011</v>
      </c>
      <c r="G1" s="24">
        <v>2010</v>
      </c>
      <c r="H1" s="74">
        <v>2009</v>
      </c>
      <c r="I1" s="25">
        <v>2008</v>
      </c>
      <c r="J1" s="24">
        <v>2007</v>
      </c>
    </row>
    <row r="2" spans="1:10">
      <c r="D2" s="24" t="s">
        <v>676</v>
      </c>
      <c r="E2" s="74" t="s">
        <v>677</v>
      </c>
      <c r="F2" s="74" t="s">
        <v>677</v>
      </c>
      <c r="G2" s="74" t="s">
        <v>677</v>
      </c>
      <c r="H2" s="74" t="s">
        <v>677</v>
      </c>
      <c r="I2" s="25" t="s">
        <v>677</v>
      </c>
      <c r="J2" s="25" t="s">
        <v>677</v>
      </c>
    </row>
    <row r="3" spans="1:10">
      <c r="A3" t="s">
        <v>55</v>
      </c>
      <c r="H3" s="2"/>
      <c r="I3" s="25"/>
      <c r="J3" s="25"/>
    </row>
    <row r="4" spans="1:10">
      <c r="A4" s="19" t="s">
        <v>778</v>
      </c>
      <c r="B4" s="19" t="s">
        <v>775</v>
      </c>
      <c r="D4" s="12">
        <v>600</v>
      </c>
      <c r="E4" s="12">
        <v>300</v>
      </c>
      <c r="F4" s="12">
        <v>150</v>
      </c>
      <c r="G4" s="12">
        <v>0</v>
      </c>
      <c r="H4" s="32">
        <v>400</v>
      </c>
      <c r="I4" s="32">
        <v>900</v>
      </c>
      <c r="J4" s="32">
        <v>450</v>
      </c>
    </row>
    <row r="5" spans="1:10">
      <c r="A5" t="s">
        <v>216</v>
      </c>
      <c r="B5" t="s">
        <v>645</v>
      </c>
      <c r="D5" s="57">
        <f>202000*115%</f>
        <v>232299.99999999997</v>
      </c>
      <c r="E5" s="57">
        <v>243279.15</v>
      </c>
      <c r="F5" s="57">
        <v>136897</v>
      </c>
      <c r="G5" s="57">
        <v>146731</v>
      </c>
      <c r="H5" s="60">
        <v>148915</v>
      </c>
      <c r="I5" s="58">
        <v>104788</v>
      </c>
      <c r="J5" s="12">
        <v>122175</v>
      </c>
    </row>
    <row r="6" spans="1:10">
      <c r="A6" t="s">
        <v>217</v>
      </c>
      <c r="B6" t="s">
        <v>29</v>
      </c>
      <c r="D6" s="58">
        <v>1000</v>
      </c>
      <c r="E6" s="58">
        <v>1124.98</v>
      </c>
      <c r="F6" s="58">
        <v>953</v>
      </c>
      <c r="G6" s="58">
        <v>825</v>
      </c>
      <c r="H6" s="58">
        <v>824</v>
      </c>
      <c r="I6" s="58">
        <v>554</v>
      </c>
      <c r="J6" s="12">
        <v>588</v>
      </c>
    </row>
    <row r="7" spans="1:10">
      <c r="A7" s="41" t="s">
        <v>1012</v>
      </c>
      <c r="B7" s="41" t="s">
        <v>1013</v>
      </c>
      <c r="D7" s="58">
        <v>0</v>
      </c>
      <c r="E7" s="58">
        <v>774.37</v>
      </c>
      <c r="F7" s="58">
        <v>0</v>
      </c>
      <c r="G7" s="58">
        <v>0</v>
      </c>
      <c r="H7" s="58">
        <v>0</v>
      </c>
      <c r="I7" s="58">
        <v>0</v>
      </c>
      <c r="J7" s="12">
        <v>0</v>
      </c>
    </row>
    <row r="8" spans="1:10">
      <c r="A8" t="s">
        <v>218</v>
      </c>
      <c r="B8" t="s">
        <v>219</v>
      </c>
      <c r="D8" s="58">
        <v>1000</v>
      </c>
      <c r="E8" s="58">
        <v>300</v>
      </c>
      <c r="F8" s="58">
        <f>453+150</f>
        <v>603</v>
      </c>
      <c r="G8" s="58">
        <f>200+10+247</f>
        <v>457</v>
      </c>
      <c r="H8" s="60">
        <f>475+520</f>
        <v>995</v>
      </c>
      <c r="I8" s="58">
        <v>0</v>
      </c>
      <c r="J8" s="12">
        <f>81+4910</f>
        <v>4991</v>
      </c>
    </row>
    <row r="9" spans="1:10">
      <c r="B9" s="41" t="s">
        <v>821</v>
      </c>
      <c r="D9" s="57">
        <v>0</v>
      </c>
      <c r="E9" s="57">
        <v>0</v>
      </c>
      <c r="F9" s="57">
        <v>0</v>
      </c>
      <c r="G9" s="57">
        <v>3702</v>
      </c>
      <c r="H9" s="58">
        <v>0</v>
      </c>
      <c r="I9" s="58">
        <v>9852</v>
      </c>
      <c r="J9" s="12">
        <v>0</v>
      </c>
    </row>
    <row r="10" spans="1:10">
      <c r="D10" s="58"/>
      <c r="E10" s="58"/>
      <c r="F10" s="58"/>
      <c r="G10" s="58"/>
      <c r="H10" s="58"/>
      <c r="I10" s="58"/>
      <c r="J10" s="12"/>
    </row>
    <row r="11" spans="1:10">
      <c r="B11" s="38" t="s">
        <v>77</v>
      </c>
      <c r="D11" s="57">
        <f>SUM(D4:D10)</f>
        <v>234899.99999999997</v>
      </c>
      <c r="E11" s="57">
        <f>SUM(E4:E10)</f>
        <v>245778.5</v>
      </c>
      <c r="F11" s="57">
        <f>SUM(F4:F10)</f>
        <v>138603</v>
      </c>
      <c r="G11" s="57">
        <f>SUM(G4:G10)</f>
        <v>151715</v>
      </c>
      <c r="H11" s="60">
        <f>SUM(H4:H9)</f>
        <v>151134</v>
      </c>
      <c r="I11" s="57">
        <f>SUM(I4:I9)</f>
        <v>116094</v>
      </c>
      <c r="J11" s="12">
        <f>SUM(J4:J9)</f>
        <v>128204</v>
      </c>
    </row>
    <row r="12" spans="1:10">
      <c r="A12" t="s">
        <v>108</v>
      </c>
      <c r="D12" s="58"/>
      <c r="E12" s="58"/>
      <c r="F12" s="58"/>
      <c r="G12" s="58"/>
      <c r="H12" s="49"/>
      <c r="I12" s="58"/>
      <c r="J12" s="12"/>
    </row>
    <row r="13" spans="1:10">
      <c r="A13" t="s">
        <v>253</v>
      </c>
      <c r="D13" s="58"/>
      <c r="E13" s="58"/>
      <c r="F13" s="58"/>
      <c r="G13" s="58"/>
      <c r="H13" s="49"/>
      <c r="I13" s="58"/>
      <c r="J13" s="12"/>
    </row>
    <row r="14" spans="1:10">
      <c r="A14" t="s">
        <v>516</v>
      </c>
      <c r="B14" t="s">
        <v>129</v>
      </c>
      <c r="D14" s="57">
        <f>35828*102%</f>
        <v>36544.559999999998</v>
      </c>
      <c r="E14" s="57">
        <v>35880.78</v>
      </c>
      <c r="F14" s="57">
        <v>33646</v>
      </c>
      <c r="G14" s="57">
        <v>33291</v>
      </c>
      <c r="H14" s="60">
        <v>32132</v>
      </c>
      <c r="I14" s="58">
        <v>24686</v>
      </c>
      <c r="J14" s="12">
        <v>24124</v>
      </c>
    </row>
    <row r="15" spans="1:10">
      <c r="A15" t="s">
        <v>517</v>
      </c>
      <c r="B15" t="s">
        <v>130</v>
      </c>
      <c r="D15" s="57">
        <f>3858*102%</f>
        <v>3935.16</v>
      </c>
      <c r="E15" s="57">
        <v>3598.59</v>
      </c>
      <c r="F15" s="57">
        <v>3858</v>
      </c>
      <c r="G15" s="57">
        <v>3492</v>
      </c>
      <c r="H15" s="58">
        <v>3639</v>
      </c>
      <c r="I15" s="58">
        <v>3800</v>
      </c>
      <c r="J15" s="12">
        <v>3688</v>
      </c>
    </row>
    <row r="16" spans="1:10">
      <c r="A16" t="s">
        <v>249</v>
      </c>
      <c r="D16" s="58"/>
      <c r="E16" s="58"/>
      <c r="F16" s="58"/>
      <c r="G16" s="58"/>
      <c r="H16" s="58"/>
      <c r="I16" s="58"/>
      <c r="J16" s="12"/>
    </row>
    <row r="17" spans="1:10">
      <c r="A17" t="s">
        <v>518</v>
      </c>
      <c r="B17" t="s">
        <v>251</v>
      </c>
      <c r="D17" s="57">
        <f>0.0725*(D14+D15)</f>
        <v>2934.7797</v>
      </c>
      <c r="E17" s="57">
        <v>2862.35</v>
      </c>
      <c r="F17" s="57">
        <v>2715</v>
      </c>
      <c r="G17" s="57">
        <v>2575</v>
      </c>
      <c r="H17" s="58">
        <v>2418</v>
      </c>
      <c r="I17" s="58">
        <v>1852</v>
      </c>
      <c r="J17" s="12">
        <v>1738</v>
      </c>
    </row>
    <row r="18" spans="1:10">
      <c r="A18" t="s">
        <v>519</v>
      </c>
      <c r="B18" t="s">
        <v>111</v>
      </c>
      <c r="D18" s="57">
        <f>0.062*(D14+D15)</f>
        <v>2509.7426399999999</v>
      </c>
      <c r="E18" s="57">
        <v>2399.38</v>
      </c>
      <c r="F18" s="57">
        <v>2262</v>
      </c>
      <c r="G18" s="57">
        <v>2221</v>
      </c>
      <c r="H18" s="58">
        <v>2172</v>
      </c>
      <c r="I18" s="58">
        <v>1725</v>
      </c>
      <c r="J18" s="12">
        <v>1686</v>
      </c>
    </row>
    <row r="19" spans="1:10">
      <c r="A19" t="s">
        <v>520</v>
      </c>
      <c r="B19" t="s">
        <v>113</v>
      </c>
      <c r="D19" s="57">
        <f>0.0145*(D14+D15)</f>
        <v>586.95594000000006</v>
      </c>
      <c r="E19" s="57">
        <v>561.16</v>
      </c>
      <c r="F19" s="57">
        <v>529</v>
      </c>
      <c r="G19" s="57">
        <v>519</v>
      </c>
      <c r="H19" s="58">
        <v>508</v>
      </c>
      <c r="I19" s="58">
        <v>404</v>
      </c>
      <c r="J19" s="12">
        <v>394</v>
      </c>
    </row>
    <row r="20" spans="1:10">
      <c r="A20" t="s">
        <v>244</v>
      </c>
      <c r="D20" s="58"/>
      <c r="E20" s="58"/>
      <c r="F20" s="58"/>
      <c r="G20" s="58"/>
      <c r="H20" s="58"/>
      <c r="I20" s="58"/>
      <c r="J20" s="12"/>
    </row>
    <row r="21" spans="1:10">
      <c r="A21" t="s">
        <v>521</v>
      </c>
      <c r="B21" t="s">
        <v>246</v>
      </c>
      <c r="D21" s="57">
        <v>9402</v>
      </c>
      <c r="E21" s="57">
        <v>9402.0300000000007</v>
      </c>
      <c r="F21" s="57">
        <v>9496</v>
      </c>
      <c r="G21" s="57">
        <v>8689</v>
      </c>
      <c r="H21" s="60">
        <v>8416</v>
      </c>
      <c r="I21" s="58">
        <v>6008</v>
      </c>
      <c r="J21" s="12">
        <v>5112</v>
      </c>
    </row>
    <row r="22" spans="1:10">
      <c r="A22" t="s">
        <v>522</v>
      </c>
      <c r="B22" t="s">
        <v>248</v>
      </c>
      <c r="D22" s="58">
        <v>468</v>
      </c>
      <c r="E22" s="58">
        <v>416.77</v>
      </c>
      <c r="F22" s="58">
        <v>646</v>
      </c>
      <c r="G22" s="58">
        <v>638</v>
      </c>
      <c r="H22" s="60">
        <v>545</v>
      </c>
      <c r="I22" s="58">
        <v>349</v>
      </c>
      <c r="J22" s="12">
        <v>319</v>
      </c>
    </row>
    <row r="23" spans="1:10">
      <c r="A23" s="41" t="s">
        <v>1009</v>
      </c>
      <c r="D23" s="58"/>
      <c r="E23" s="58"/>
      <c r="F23" s="58"/>
      <c r="G23" s="58"/>
      <c r="H23" s="60"/>
      <c r="I23" s="58"/>
      <c r="J23" s="12"/>
    </row>
    <row r="24" spans="1:10">
      <c r="A24" s="41" t="s">
        <v>1014</v>
      </c>
      <c r="B24" s="41" t="s">
        <v>996</v>
      </c>
      <c r="D24" s="58">
        <v>0</v>
      </c>
      <c r="E24" s="58">
        <v>1320.76</v>
      </c>
      <c r="F24" s="58">
        <v>0</v>
      </c>
      <c r="G24" s="58">
        <v>0</v>
      </c>
      <c r="H24" s="60">
        <v>0</v>
      </c>
      <c r="I24" s="58">
        <v>0</v>
      </c>
      <c r="J24" s="12">
        <v>0</v>
      </c>
    </row>
    <row r="25" spans="1:10">
      <c r="A25" t="s">
        <v>58</v>
      </c>
      <c r="D25" s="58"/>
      <c r="E25" s="58"/>
      <c r="F25" s="58"/>
      <c r="G25" s="58"/>
      <c r="H25" s="58"/>
      <c r="I25" s="58"/>
      <c r="J25" s="12"/>
    </row>
    <row r="26" spans="1:10">
      <c r="A26" t="s">
        <v>523</v>
      </c>
      <c r="B26" t="s">
        <v>243</v>
      </c>
      <c r="D26" s="57">
        <f>2942*106%</f>
        <v>3118.52</v>
      </c>
      <c r="E26" s="57">
        <v>1470</v>
      </c>
      <c r="F26" s="57">
        <v>4270</v>
      </c>
      <c r="G26" s="57">
        <v>1730</v>
      </c>
      <c r="H26" s="58">
        <v>1725</v>
      </c>
      <c r="I26" s="58">
        <v>2830</v>
      </c>
      <c r="J26" s="12">
        <v>1565</v>
      </c>
    </row>
    <row r="27" spans="1:10">
      <c r="A27" t="s">
        <v>44</v>
      </c>
      <c r="D27" s="58"/>
      <c r="E27" s="58"/>
      <c r="F27" s="58"/>
      <c r="G27" s="58"/>
      <c r="H27" s="58"/>
      <c r="I27" s="58"/>
      <c r="J27" s="12"/>
    </row>
    <row r="28" spans="1:10">
      <c r="A28" s="19" t="s">
        <v>769</v>
      </c>
      <c r="B28" t="s">
        <v>57</v>
      </c>
      <c r="D28" s="58">
        <v>200</v>
      </c>
      <c r="E28" s="58">
        <v>0</v>
      </c>
      <c r="F28" s="58">
        <f>36+18</f>
        <v>54</v>
      </c>
      <c r="G28" s="58">
        <v>146</v>
      </c>
      <c r="H28" s="58">
        <v>0</v>
      </c>
      <c r="I28" s="58">
        <v>72</v>
      </c>
      <c r="J28" s="12">
        <v>0</v>
      </c>
    </row>
    <row r="29" spans="1:10">
      <c r="A29" t="s">
        <v>208</v>
      </c>
      <c r="D29" s="58"/>
      <c r="E29" s="58"/>
      <c r="F29" s="58"/>
      <c r="G29" s="58"/>
      <c r="H29" s="58"/>
      <c r="I29" s="58"/>
      <c r="J29" s="12"/>
    </row>
    <row r="30" spans="1:10">
      <c r="A30" s="19" t="s">
        <v>767</v>
      </c>
      <c r="B30" s="19" t="s">
        <v>768</v>
      </c>
      <c r="D30" s="58">
        <v>0</v>
      </c>
      <c r="E30" s="58">
        <v>1832.68</v>
      </c>
      <c r="F30" s="58">
        <f>63+1503</f>
        <v>1566</v>
      </c>
      <c r="G30" s="58">
        <v>835</v>
      </c>
      <c r="H30" s="58">
        <v>0</v>
      </c>
      <c r="I30" s="58">
        <v>609</v>
      </c>
      <c r="J30" s="12">
        <v>0</v>
      </c>
    </row>
    <row r="31" spans="1:10">
      <c r="A31" t="s">
        <v>524</v>
      </c>
      <c r="B31" t="s">
        <v>42</v>
      </c>
      <c r="D31" s="58">
        <v>5431</v>
      </c>
      <c r="E31" s="58">
        <v>3893.58</v>
      </c>
      <c r="F31" s="58">
        <v>5431</v>
      </c>
      <c r="G31" s="58">
        <v>2942</v>
      </c>
      <c r="H31" s="58">
        <v>5431</v>
      </c>
      <c r="I31" s="58">
        <v>6298</v>
      </c>
      <c r="J31" s="12">
        <v>6526</v>
      </c>
    </row>
    <row r="32" spans="1:10">
      <c r="A32" t="s">
        <v>525</v>
      </c>
      <c r="B32" t="s">
        <v>43</v>
      </c>
      <c r="D32" s="58">
        <v>3200</v>
      </c>
      <c r="E32" s="58">
        <v>3216.99</v>
      </c>
      <c r="F32" s="58">
        <v>2412</v>
      </c>
      <c r="G32" s="58">
        <v>3642</v>
      </c>
      <c r="H32" s="58">
        <v>1825</v>
      </c>
      <c r="I32" s="58">
        <v>3886</v>
      </c>
      <c r="J32" s="12">
        <v>2501</v>
      </c>
    </row>
    <row r="33" spans="1:11">
      <c r="A33" t="s">
        <v>28</v>
      </c>
      <c r="D33" s="58"/>
      <c r="E33" s="58"/>
      <c r="F33" s="58"/>
      <c r="G33" s="58"/>
      <c r="H33" s="58"/>
      <c r="I33" s="58"/>
      <c r="J33" s="12"/>
    </row>
    <row r="34" spans="1:11">
      <c r="A34" t="s">
        <v>526</v>
      </c>
      <c r="B34" t="s">
        <v>199</v>
      </c>
      <c r="D34" s="58">
        <v>5500</v>
      </c>
      <c r="E34" s="58">
        <v>7990.79</v>
      </c>
      <c r="F34" s="58">
        <v>3075</v>
      </c>
      <c r="G34" s="58">
        <v>8303</v>
      </c>
      <c r="H34" s="58">
        <v>3742</v>
      </c>
      <c r="I34" s="58">
        <f>11575+97</f>
        <v>11672</v>
      </c>
      <c r="J34" s="12">
        <v>4958</v>
      </c>
    </row>
    <row r="35" spans="1:11">
      <c r="A35" s="19" t="s">
        <v>764</v>
      </c>
      <c r="B35" s="19" t="s">
        <v>765</v>
      </c>
      <c r="D35" s="58">
        <v>0</v>
      </c>
      <c r="E35" s="58">
        <v>609.05999999999995</v>
      </c>
      <c r="F35" s="58">
        <v>499</v>
      </c>
      <c r="G35" s="58">
        <v>0</v>
      </c>
      <c r="H35" s="58">
        <v>640</v>
      </c>
      <c r="I35" s="58">
        <v>635</v>
      </c>
      <c r="J35" s="12">
        <v>0</v>
      </c>
    </row>
    <row r="36" spans="1:11">
      <c r="A36" s="19" t="s">
        <v>766</v>
      </c>
      <c r="B36" s="19" t="s">
        <v>206</v>
      </c>
      <c r="D36" s="57">
        <v>0</v>
      </c>
      <c r="E36" s="57">
        <v>0</v>
      </c>
      <c r="F36" s="57">
        <v>0</v>
      </c>
      <c r="G36" s="57">
        <v>0</v>
      </c>
      <c r="H36" s="58">
        <v>18</v>
      </c>
      <c r="I36" s="58">
        <v>26</v>
      </c>
      <c r="J36" s="12">
        <v>0</v>
      </c>
    </row>
    <row r="37" spans="1:11">
      <c r="A37" s="41" t="s">
        <v>1019</v>
      </c>
      <c r="B37" s="41" t="s">
        <v>893</v>
      </c>
      <c r="D37" s="57">
        <v>0</v>
      </c>
      <c r="E37" s="57">
        <v>34.619999999999997</v>
      </c>
      <c r="F37" s="57">
        <v>0</v>
      </c>
      <c r="G37" s="57">
        <v>0</v>
      </c>
      <c r="H37" s="58">
        <v>0</v>
      </c>
      <c r="I37" s="58">
        <v>0</v>
      </c>
      <c r="J37" s="12">
        <v>0</v>
      </c>
    </row>
    <row r="38" spans="1:11">
      <c r="A38" t="s">
        <v>20</v>
      </c>
      <c r="D38" s="58"/>
      <c r="E38" s="58"/>
      <c r="F38" s="58"/>
      <c r="G38" s="58"/>
      <c r="H38" s="58"/>
      <c r="I38" s="58"/>
      <c r="J38" s="12"/>
    </row>
    <row r="39" spans="1:11">
      <c r="A39" t="s">
        <v>527</v>
      </c>
      <c r="B39" t="s">
        <v>27</v>
      </c>
      <c r="D39" s="58"/>
      <c r="E39" s="58"/>
      <c r="F39" s="58"/>
      <c r="G39" s="58"/>
      <c r="H39" s="58"/>
      <c r="I39" s="58"/>
      <c r="J39" s="12"/>
    </row>
    <row r="40" spans="1:11">
      <c r="A40" t="s">
        <v>9</v>
      </c>
      <c r="D40" s="58"/>
      <c r="E40" s="58"/>
      <c r="F40" s="58"/>
      <c r="G40" s="58"/>
      <c r="H40" s="58"/>
      <c r="I40" s="58"/>
      <c r="J40" s="12"/>
    </row>
    <row r="41" spans="1:11">
      <c r="A41" t="s">
        <v>528</v>
      </c>
      <c r="B41" t="s">
        <v>11</v>
      </c>
      <c r="D41" s="58">
        <f>1932*102%</f>
        <v>1970.64</v>
      </c>
      <c r="E41" s="58">
        <v>1894</v>
      </c>
      <c r="F41" s="58">
        <v>1894</v>
      </c>
      <c r="G41" s="58">
        <v>1622</v>
      </c>
      <c r="H41" s="60">
        <v>1578</v>
      </c>
      <c r="I41" s="58">
        <v>1578</v>
      </c>
      <c r="J41" s="12">
        <v>1530</v>
      </c>
    </row>
    <row r="42" spans="1:11">
      <c r="A42" t="s">
        <v>529</v>
      </c>
      <c r="B42" t="s">
        <v>13</v>
      </c>
      <c r="D42" s="57">
        <v>12500</v>
      </c>
      <c r="E42" s="57">
        <v>4569</v>
      </c>
      <c r="F42" s="57">
        <v>10053</v>
      </c>
      <c r="G42" s="57">
        <v>3038</v>
      </c>
      <c r="H42" s="58">
        <v>4161</v>
      </c>
      <c r="I42" s="58">
        <v>5936</v>
      </c>
      <c r="J42" s="12">
        <v>634</v>
      </c>
    </row>
    <row r="43" spans="1:11">
      <c r="A43" t="s">
        <v>530</v>
      </c>
      <c r="B43" t="s">
        <v>17</v>
      </c>
      <c r="D43" s="58">
        <v>1750</v>
      </c>
      <c r="E43" s="58">
        <v>0</v>
      </c>
      <c r="F43" s="58">
        <v>0</v>
      </c>
      <c r="G43" s="58">
        <v>0</v>
      </c>
      <c r="H43" s="58">
        <v>0</v>
      </c>
      <c r="I43" s="58">
        <v>0</v>
      </c>
      <c r="J43" s="12">
        <v>1750</v>
      </c>
    </row>
    <row r="44" spans="1:11">
      <c r="A44" t="s">
        <v>531</v>
      </c>
      <c r="B44" t="s">
        <v>125</v>
      </c>
      <c r="D44" s="58">
        <v>750</v>
      </c>
      <c r="E44" s="58">
        <v>0</v>
      </c>
      <c r="F44" s="58">
        <v>0</v>
      </c>
      <c r="G44" s="58">
        <v>0</v>
      </c>
      <c r="H44" s="58">
        <v>750</v>
      </c>
      <c r="I44" s="58">
        <v>0</v>
      </c>
      <c r="J44" s="12">
        <v>0</v>
      </c>
      <c r="K44" s="41"/>
    </row>
    <row r="45" spans="1:11">
      <c r="A45" t="s">
        <v>8</v>
      </c>
      <c r="D45" s="58"/>
      <c r="E45" s="58"/>
      <c r="F45" s="58"/>
      <c r="G45" s="58"/>
      <c r="H45" s="58"/>
      <c r="I45" s="58"/>
      <c r="J45" s="12"/>
    </row>
    <row r="46" spans="1:11">
      <c r="A46" t="s">
        <v>532</v>
      </c>
      <c r="B46" t="s">
        <v>119</v>
      </c>
      <c r="D46" s="58">
        <v>600</v>
      </c>
      <c r="E46" s="58">
        <v>363.22</v>
      </c>
      <c r="F46" s="58">
        <v>377</v>
      </c>
      <c r="G46" s="58">
        <v>375</v>
      </c>
      <c r="H46" s="58">
        <v>582</v>
      </c>
      <c r="I46" s="58">
        <v>570</v>
      </c>
      <c r="J46" s="12">
        <v>497</v>
      </c>
    </row>
    <row r="47" spans="1:11">
      <c r="A47" s="19" t="s">
        <v>763</v>
      </c>
      <c r="B47" s="19" t="s">
        <v>120</v>
      </c>
      <c r="D47" s="58">
        <v>0</v>
      </c>
      <c r="E47" s="58">
        <v>44.15</v>
      </c>
      <c r="F47" s="58">
        <v>26</v>
      </c>
      <c r="G47" s="58">
        <v>5</v>
      </c>
      <c r="H47" s="58">
        <v>22</v>
      </c>
      <c r="I47" s="58">
        <v>13</v>
      </c>
      <c r="J47" s="12">
        <v>0</v>
      </c>
    </row>
    <row r="48" spans="1:11">
      <c r="A48" t="s">
        <v>193</v>
      </c>
      <c r="D48" s="58"/>
      <c r="E48" s="58"/>
      <c r="F48" s="58"/>
      <c r="G48" s="58"/>
      <c r="H48" s="58"/>
      <c r="I48" s="58"/>
      <c r="J48" s="12"/>
    </row>
    <row r="49" spans="1:10">
      <c r="A49" t="s">
        <v>533</v>
      </c>
      <c r="B49" t="s">
        <v>195</v>
      </c>
      <c r="D49" s="58">
        <v>500</v>
      </c>
      <c r="E49" s="58">
        <v>0</v>
      </c>
      <c r="F49" s="58">
        <v>63</v>
      </c>
      <c r="G49" s="58">
        <v>230</v>
      </c>
      <c r="H49" s="58">
        <v>0</v>
      </c>
      <c r="I49" s="58">
        <v>0</v>
      </c>
      <c r="J49" s="12">
        <v>468</v>
      </c>
    </row>
    <row r="50" spans="1:10">
      <c r="A50" t="s">
        <v>186</v>
      </c>
      <c r="D50" s="58"/>
      <c r="E50" s="58"/>
      <c r="F50" s="58"/>
      <c r="G50" s="58"/>
      <c r="H50" s="58"/>
      <c r="I50" s="58"/>
      <c r="J50" s="12"/>
    </row>
    <row r="51" spans="1:10">
      <c r="A51" t="s">
        <v>534</v>
      </c>
      <c r="B51" t="s">
        <v>191</v>
      </c>
      <c r="D51" s="58">
        <v>0</v>
      </c>
      <c r="E51" s="58">
        <v>0</v>
      </c>
      <c r="F51" s="58">
        <v>0</v>
      </c>
      <c r="G51" s="58">
        <v>0</v>
      </c>
      <c r="H51" s="58">
        <v>0</v>
      </c>
      <c r="I51" s="58">
        <v>0</v>
      </c>
      <c r="J51" s="12">
        <v>0</v>
      </c>
    </row>
    <row r="52" spans="1:10">
      <c r="A52" t="s">
        <v>180</v>
      </c>
      <c r="D52" s="58"/>
      <c r="E52" s="58"/>
      <c r="F52" s="58"/>
      <c r="G52" s="58"/>
      <c r="H52" s="58"/>
      <c r="I52" s="58"/>
      <c r="J52" s="12"/>
    </row>
    <row r="53" spans="1:10">
      <c r="A53" t="s">
        <v>535</v>
      </c>
      <c r="B53" t="s">
        <v>181</v>
      </c>
      <c r="D53" s="58">
        <v>350</v>
      </c>
      <c r="E53" s="58">
        <v>0</v>
      </c>
      <c r="F53" s="58">
        <v>294</v>
      </c>
      <c r="G53" s="58">
        <v>338</v>
      </c>
      <c r="H53" s="58">
        <v>299</v>
      </c>
      <c r="I53" s="58">
        <v>325</v>
      </c>
      <c r="J53" s="12">
        <v>0</v>
      </c>
    </row>
    <row r="54" spans="1:10">
      <c r="A54" t="s">
        <v>536</v>
      </c>
      <c r="B54" t="s">
        <v>183</v>
      </c>
      <c r="D54" s="58">
        <v>10</v>
      </c>
      <c r="E54" s="58">
        <v>349.5</v>
      </c>
      <c r="F54" s="58">
        <v>21</v>
      </c>
      <c r="G54" s="58">
        <v>41</v>
      </c>
      <c r="H54" s="58">
        <v>0</v>
      </c>
      <c r="I54" s="58">
        <v>0</v>
      </c>
      <c r="J54" s="12">
        <v>0</v>
      </c>
    </row>
    <row r="55" spans="1:10">
      <c r="A55" t="s">
        <v>173</v>
      </c>
      <c r="D55" s="58"/>
      <c r="E55" s="58"/>
      <c r="F55" s="58"/>
      <c r="G55" s="58"/>
      <c r="H55" s="58"/>
      <c r="I55" s="58"/>
      <c r="J55" s="12"/>
    </row>
    <row r="56" spans="1:10">
      <c r="A56" t="s">
        <v>537</v>
      </c>
      <c r="B56" t="s">
        <v>115</v>
      </c>
      <c r="D56" s="57">
        <f>1244*110%</f>
        <v>1368.4</v>
      </c>
      <c r="E56" s="57">
        <v>1244</v>
      </c>
      <c r="F56" s="57">
        <v>935</v>
      </c>
      <c r="G56" s="57">
        <v>1278</v>
      </c>
      <c r="H56" s="58">
        <v>860</v>
      </c>
      <c r="I56" s="58">
        <v>803</v>
      </c>
      <c r="J56" s="12">
        <v>466</v>
      </c>
    </row>
    <row r="57" spans="1:10">
      <c r="A57" t="s">
        <v>538</v>
      </c>
      <c r="B57" t="s">
        <v>176</v>
      </c>
      <c r="D57" s="57">
        <f>653*107%</f>
        <v>698.71</v>
      </c>
      <c r="E57" s="57">
        <v>653</v>
      </c>
      <c r="F57" s="57">
        <v>463</v>
      </c>
      <c r="G57" s="57">
        <v>628</v>
      </c>
      <c r="H57" s="58">
        <v>619</v>
      </c>
      <c r="I57" s="58">
        <v>679</v>
      </c>
      <c r="J57" s="12">
        <v>644</v>
      </c>
    </row>
    <row r="58" spans="1:10">
      <c r="A58" s="19" t="s">
        <v>685</v>
      </c>
      <c r="B58" s="19" t="s">
        <v>686</v>
      </c>
      <c r="D58" s="57">
        <f>221*105%</f>
        <v>232.05</v>
      </c>
      <c r="E58" s="57">
        <v>221</v>
      </c>
      <c r="F58" s="57">
        <v>169</v>
      </c>
      <c r="G58" s="57">
        <v>234</v>
      </c>
      <c r="H58" s="58">
        <v>124</v>
      </c>
      <c r="I58" s="58">
        <v>285</v>
      </c>
      <c r="J58" s="12">
        <v>0</v>
      </c>
    </row>
    <row r="59" spans="1:10">
      <c r="A59" t="s">
        <v>163</v>
      </c>
      <c r="D59" s="58"/>
      <c r="E59" s="58"/>
      <c r="F59" s="58"/>
      <c r="G59" s="58"/>
      <c r="H59" s="58"/>
      <c r="I59" s="58"/>
      <c r="J59" s="12"/>
    </row>
    <row r="60" spans="1:10">
      <c r="A60" t="s">
        <v>539</v>
      </c>
      <c r="B60" t="s">
        <v>164</v>
      </c>
      <c r="D60" s="57">
        <f>38382*109%</f>
        <v>41836.380000000005</v>
      </c>
      <c r="E60" s="57">
        <v>37121.75</v>
      </c>
      <c r="F60" s="57">
        <v>38382</v>
      </c>
      <c r="G60" s="57">
        <v>31757</v>
      </c>
      <c r="H60" s="58">
        <v>35705</v>
      </c>
      <c r="I60" s="58">
        <v>38449</v>
      </c>
      <c r="J60" s="12">
        <v>34859</v>
      </c>
    </row>
    <row r="61" spans="1:10">
      <c r="A61" t="s">
        <v>920</v>
      </c>
      <c r="B61" t="s">
        <v>167</v>
      </c>
      <c r="D61" s="57">
        <v>0</v>
      </c>
      <c r="E61" s="57">
        <v>0</v>
      </c>
      <c r="F61" s="57">
        <v>0</v>
      </c>
      <c r="G61" s="57">
        <v>2310</v>
      </c>
      <c r="H61" s="58">
        <v>0</v>
      </c>
      <c r="I61" s="58">
        <v>0</v>
      </c>
      <c r="J61" s="12">
        <v>0</v>
      </c>
    </row>
    <row r="62" spans="1:10">
      <c r="A62" s="41" t="s">
        <v>1016</v>
      </c>
      <c r="D62" s="57"/>
      <c r="E62" s="57"/>
      <c r="F62" s="57"/>
      <c r="G62" s="57"/>
      <c r="H62" s="58"/>
      <c r="I62" s="58"/>
      <c r="J62" s="12"/>
    </row>
    <row r="63" spans="1:10">
      <c r="A63" s="41" t="s">
        <v>1017</v>
      </c>
      <c r="B63" s="41" t="s">
        <v>1018</v>
      </c>
      <c r="D63" s="57">
        <v>0</v>
      </c>
      <c r="E63" s="57">
        <v>3924</v>
      </c>
      <c r="F63" s="57">
        <v>0</v>
      </c>
      <c r="G63" s="57">
        <v>0</v>
      </c>
      <c r="H63" s="58">
        <v>0</v>
      </c>
      <c r="I63" s="58">
        <v>0</v>
      </c>
      <c r="J63" s="12">
        <v>0</v>
      </c>
    </row>
    <row r="64" spans="1:10">
      <c r="A64" t="s">
        <v>665</v>
      </c>
      <c r="D64" s="58"/>
      <c r="E64" s="58"/>
      <c r="F64" s="58"/>
      <c r="G64" s="58"/>
      <c r="H64" s="58"/>
      <c r="I64" s="58"/>
      <c r="J64" s="12"/>
    </row>
    <row r="65" spans="1:12">
      <c r="A65" t="s">
        <v>790</v>
      </c>
      <c r="B65" t="s">
        <v>791</v>
      </c>
      <c r="D65" s="58">
        <v>0</v>
      </c>
      <c r="E65" s="58">
        <v>0</v>
      </c>
      <c r="F65" s="58">
        <v>0</v>
      </c>
      <c r="G65" s="58">
        <v>0</v>
      </c>
      <c r="H65" s="58">
        <v>0</v>
      </c>
      <c r="I65" s="58">
        <v>0</v>
      </c>
      <c r="J65" s="12">
        <v>3314</v>
      </c>
    </row>
    <row r="66" spans="1:12">
      <c r="A66" t="s">
        <v>157</v>
      </c>
      <c r="D66" s="58"/>
      <c r="E66" s="58"/>
      <c r="F66" s="58"/>
      <c r="G66" s="58"/>
      <c r="H66" s="58"/>
      <c r="I66" s="58"/>
      <c r="J66" s="12"/>
    </row>
    <row r="67" spans="1:12">
      <c r="A67" t="s">
        <v>792</v>
      </c>
      <c r="B67" t="s">
        <v>158</v>
      </c>
      <c r="D67" s="58">
        <v>0</v>
      </c>
      <c r="E67" s="58">
        <v>0</v>
      </c>
      <c r="F67" s="58">
        <v>616</v>
      </c>
      <c r="G67" s="58">
        <v>0</v>
      </c>
      <c r="H67" s="60">
        <v>0</v>
      </c>
      <c r="I67" s="60">
        <v>0</v>
      </c>
      <c r="J67" s="12">
        <v>598</v>
      </c>
    </row>
    <row r="68" spans="1:12">
      <c r="A68" s="41" t="s">
        <v>1015</v>
      </c>
      <c r="B68" s="41" t="s">
        <v>159</v>
      </c>
      <c r="D68" s="58">
        <v>0</v>
      </c>
      <c r="E68" s="58">
        <v>747</v>
      </c>
      <c r="F68" s="58">
        <v>0</v>
      </c>
      <c r="G68" s="58">
        <v>0</v>
      </c>
      <c r="H68" s="60">
        <v>0</v>
      </c>
      <c r="I68" s="60">
        <v>0</v>
      </c>
      <c r="J68" s="12">
        <v>0</v>
      </c>
    </row>
    <row r="69" spans="1:12">
      <c r="A69" t="s">
        <v>540</v>
      </c>
      <c r="B69" t="s">
        <v>160</v>
      </c>
      <c r="D69" s="57">
        <v>7000</v>
      </c>
      <c r="E69" s="57">
        <v>0</v>
      </c>
      <c r="F69" s="57">
        <v>0</v>
      </c>
      <c r="G69" s="57">
        <v>725</v>
      </c>
      <c r="H69" s="58">
        <v>598</v>
      </c>
      <c r="I69" s="58">
        <v>725</v>
      </c>
      <c r="J69" s="12">
        <v>0</v>
      </c>
    </row>
    <row r="70" spans="1:12">
      <c r="A70" t="s">
        <v>151</v>
      </c>
      <c r="D70" s="58"/>
      <c r="E70" s="58"/>
      <c r="F70" s="58"/>
      <c r="G70" s="58"/>
      <c r="H70" s="58"/>
      <c r="I70" s="58"/>
      <c r="J70" s="12"/>
    </row>
    <row r="71" spans="1:12">
      <c r="A71" t="s">
        <v>541</v>
      </c>
      <c r="B71" t="s">
        <v>153</v>
      </c>
      <c r="D71" s="58">
        <v>1000</v>
      </c>
      <c r="E71" s="58">
        <v>0</v>
      </c>
      <c r="F71" s="58">
        <v>0</v>
      </c>
      <c r="G71" s="58">
        <v>0</v>
      </c>
      <c r="H71" s="58">
        <v>0</v>
      </c>
      <c r="I71" s="58">
        <v>50</v>
      </c>
      <c r="J71" s="12">
        <v>0</v>
      </c>
    </row>
    <row r="72" spans="1:12">
      <c r="A72" t="s">
        <v>148</v>
      </c>
      <c r="D72" s="58"/>
      <c r="E72" s="58"/>
      <c r="F72" s="58"/>
      <c r="G72" s="58"/>
      <c r="H72" s="58"/>
      <c r="I72" s="58"/>
      <c r="J72" s="12"/>
    </row>
    <row r="73" spans="1:12">
      <c r="A73" t="s">
        <v>542</v>
      </c>
      <c r="B73" t="s">
        <v>149</v>
      </c>
      <c r="D73" s="58">
        <v>35000</v>
      </c>
      <c r="E73" s="58">
        <v>0</v>
      </c>
      <c r="F73" s="58">
        <v>0</v>
      </c>
      <c r="G73" s="58">
        <v>0</v>
      </c>
      <c r="H73" s="61">
        <f>2454/2</f>
        <v>1227</v>
      </c>
      <c r="I73" s="58">
        <v>0</v>
      </c>
      <c r="J73" s="12">
        <v>0</v>
      </c>
    </row>
    <row r="74" spans="1:12">
      <c r="A74" t="s">
        <v>141</v>
      </c>
      <c r="D74" s="58"/>
      <c r="E74" s="58"/>
      <c r="F74" s="58"/>
      <c r="G74" s="58"/>
      <c r="H74" s="58"/>
      <c r="I74" s="58"/>
      <c r="J74" s="12"/>
    </row>
    <row r="75" spans="1:12">
      <c r="A75" t="s">
        <v>543</v>
      </c>
      <c r="B75" t="s">
        <v>124</v>
      </c>
      <c r="D75" s="58">
        <v>4500</v>
      </c>
      <c r="E75" s="58">
        <v>5075.5</v>
      </c>
      <c r="F75" s="58">
        <v>4859</v>
      </c>
      <c r="G75" s="58">
        <v>3626</v>
      </c>
      <c r="H75" s="58">
        <v>4447</v>
      </c>
      <c r="I75" s="58">
        <v>4830</v>
      </c>
      <c r="J75" s="12">
        <v>4275</v>
      </c>
    </row>
    <row r="76" spans="1:12">
      <c r="A76" t="s">
        <v>544</v>
      </c>
      <c r="B76" t="s">
        <v>122</v>
      </c>
      <c r="D76" s="58">
        <v>500</v>
      </c>
      <c r="E76" s="58">
        <v>614.47</v>
      </c>
      <c r="F76" s="58">
        <v>317</v>
      </c>
      <c r="G76" s="58">
        <v>233</v>
      </c>
      <c r="H76" s="58">
        <v>342</v>
      </c>
      <c r="I76" s="58">
        <v>320</v>
      </c>
      <c r="J76" s="12">
        <v>317</v>
      </c>
    </row>
    <row r="77" spans="1:12">
      <c r="A77" t="s">
        <v>545</v>
      </c>
      <c r="B77" t="s">
        <v>142</v>
      </c>
      <c r="D77" s="58">
        <v>250</v>
      </c>
      <c r="E77" s="58">
        <v>0</v>
      </c>
      <c r="F77" s="58">
        <v>17</v>
      </c>
      <c r="G77" s="58">
        <v>0</v>
      </c>
      <c r="H77" s="58">
        <f>53+50</f>
        <v>103</v>
      </c>
      <c r="I77" s="58">
        <v>8</v>
      </c>
      <c r="J77" s="12">
        <v>0</v>
      </c>
    </row>
    <row r="78" spans="1:12">
      <c r="D78" s="58"/>
      <c r="E78" s="58"/>
      <c r="F78" s="58"/>
      <c r="G78" s="58"/>
      <c r="H78" s="58"/>
      <c r="I78" s="58"/>
      <c r="J78" s="12"/>
      <c r="L78" s="41"/>
    </row>
    <row r="79" spans="1:12">
      <c r="B79" s="38" t="s">
        <v>77</v>
      </c>
      <c r="D79" s="57">
        <f t="shared" ref="D79" si="0">SUM(D14:D77)</f>
        <v>184646.89828000002</v>
      </c>
      <c r="E79" s="57">
        <f t="shared" ref="E79:J79" si="1">SUM(E14:E77)</f>
        <v>132310.12999999998</v>
      </c>
      <c r="F79" s="57">
        <f t="shared" si="1"/>
        <v>128945</v>
      </c>
      <c r="G79" s="57">
        <f t="shared" si="1"/>
        <v>115463</v>
      </c>
      <c r="H79" s="60">
        <f t="shared" si="1"/>
        <v>114628</v>
      </c>
      <c r="I79" s="57">
        <f t="shared" si="1"/>
        <v>119423</v>
      </c>
      <c r="J79" s="12">
        <f t="shared" si="1"/>
        <v>101963</v>
      </c>
    </row>
    <row r="81" spans="1:10">
      <c r="A81" s="19"/>
      <c r="B81" s="97" t="s">
        <v>927</v>
      </c>
      <c r="D81" s="12">
        <v>44097</v>
      </c>
      <c r="E81" s="12">
        <v>44364.87</v>
      </c>
      <c r="F81" s="12">
        <v>37382</v>
      </c>
      <c r="G81" s="12">
        <v>37395</v>
      </c>
      <c r="H81" s="12">
        <v>0</v>
      </c>
      <c r="I81" s="96">
        <v>0</v>
      </c>
      <c r="J81" s="13">
        <v>0</v>
      </c>
    </row>
  </sheetData>
  <phoneticPr fontId="2" type="noConversion"/>
  <pageMargins left="0.25" right="0.25" top="0.75" bottom="0.75" header="0.3" footer="0.3"/>
  <pageSetup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dimension ref="A1:K74"/>
  <sheetViews>
    <sheetView topLeftCell="A46" zoomScaleNormal="100" workbookViewId="0">
      <selection activeCell="M13" sqref="M13"/>
    </sheetView>
  </sheetViews>
  <sheetFormatPr defaultRowHeight="12.75"/>
  <cols>
    <col min="1" max="1" width="18.42578125" customWidth="1"/>
    <col min="2" max="2" width="27.5703125" customWidth="1"/>
    <col min="3" max="3" width="6.7109375" customWidth="1"/>
    <col min="4" max="4" width="11.7109375" customWidth="1"/>
    <col min="5" max="6" width="10.7109375" customWidth="1"/>
    <col min="7" max="7" width="11.28515625" customWidth="1"/>
    <col min="8" max="10" width="10.7109375" customWidth="1"/>
  </cols>
  <sheetData>
    <row r="1" spans="1:10" ht="15.75">
      <c r="B1" s="20" t="s">
        <v>838</v>
      </c>
      <c r="D1" s="21">
        <v>2013</v>
      </c>
      <c r="E1" s="109">
        <v>2012</v>
      </c>
      <c r="F1" s="74">
        <v>2011</v>
      </c>
      <c r="G1" s="24">
        <v>2010</v>
      </c>
      <c r="H1" s="74">
        <v>2009</v>
      </c>
      <c r="I1" s="24">
        <v>2008</v>
      </c>
      <c r="J1" s="24">
        <v>2007</v>
      </c>
    </row>
    <row r="2" spans="1:10" ht="12.75" customHeight="1">
      <c r="A2" t="s">
        <v>55</v>
      </c>
      <c r="B2" s="20"/>
      <c r="D2" s="24" t="s">
        <v>676</v>
      </c>
      <c r="E2" s="74" t="s">
        <v>677</v>
      </c>
      <c r="F2" s="74" t="s">
        <v>677</v>
      </c>
      <c r="G2" s="74" t="s">
        <v>677</v>
      </c>
      <c r="H2" s="74" t="s">
        <v>677</v>
      </c>
      <c r="I2" s="24"/>
      <c r="J2" s="24"/>
    </row>
    <row r="3" spans="1:10" ht="12.75" customHeight="1">
      <c r="A3" t="s">
        <v>883</v>
      </c>
      <c r="B3" s="41" t="s">
        <v>637</v>
      </c>
      <c r="D3" s="12">
        <v>10176</v>
      </c>
      <c r="E3" s="12">
        <v>15425.72</v>
      </c>
      <c r="F3" s="12">
        <v>9500</v>
      </c>
      <c r="G3" s="44">
        <v>10176</v>
      </c>
      <c r="H3" s="47">
        <f>7268+2076</f>
        <v>9344</v>
      </c>
      <c r="I3" s="112">
        <v>0</v>
      </c>
      <c r="J3" s="112">
        <v>0</v>
      </c>
    </row>
    <row r="4" spans="1:10" ht="12.75" customHeight="1">
      <c r="A4" t="s">
        <v>881</v>
      </c>
      <c r="B4" s="41" t="s">
        <v>882</v>
      </c>
      <c r="D4" s="12">
        <v>103319</v>
      </c>
      <c r="E4" s="12">
        <v>0</v>
      </c>
      <c r="F4" s="12">
        <v>107261</v>
      </c>
      <c r="G4" s="44">
        <v>115019</v>
      </c>
      <c r="H4" s="47">
        <v>107981</v>
      </c>
      <c r="I4" s="112">
        <v>0</v>
      </c>
      <c r="J4" s="112">
        <v>0</v>
      </c>
    </row>
    <row r="5" spans="1:10" ht="12.75" customHeight="1">
      <c r="A5" s="41" t="s">
        <v>1020</v>
      </c>
      <c r="B5" s="41" t="s">
        <v>1013</v>
      </c>
      <c r="D5" s="12">
        <v>0</v>
      </c>
      <c r="E5" s="12">
        <v>539.84</v>
      </c>
      <c r="F5" s="12">
        <v>0</v>
      </c>
      <c r="G5" s="44">
        <v>0</v>
      </c>
      <c r="H5" s="47">
        <v>0</v>
      </c>
      <c r="I5" s="112">
        <v>0</v>
      </c>
      <c r="J5" s="112">
        <v>0</v>
      </c>
    </row>
    <row r="6" spans="1:10" ht="12.75" customHeight="1">
      <c r="A6" t="s">
        <v>884</v>
      </c>
      <c r="B6" s="41" t="s">
        <v>795</v>
      </c>
      <c r="D6" s="12">
        <v>30000</v>
      </c>
      <c r="E6" s="12">
        <f>30035.99+45.09</f>
        <v>30081.08</v>
      </c>
      <c r="F6" s="12">
        <v>30000</v>
      </c>
      <c r="G6" s="44">
        <v>30119</v>
      </c>
      <c r="H6" s="47">
        <v>829</v>
      </c>
      <c r="I6" s="112">
        <v>0</v>
      </c>
      <c r="J6" s="112">
        <v>0</v>
      </c>
    </row>
    <row r="7" spans="1:10" ht="12.75" customHeight="1">
      <c r="A7" s="41" t="s">
        <v>1021</v>
      </c>
      <c r="B7" s="41" t="s">
        <v>59</v>
      </c>
      <c r="D7" s="12">
        <v>0</v>
      </c>
      <c r="E7" s="12">
        <v>121977.04</v>
      </c>
      <c r="F7" s="12">
        <v>0</v>
      </c>
      <c r="G7" s="44">
        <v>0</v>
      </c>
      <c r="H7" s="47">
        <v>0</v>
      </c>
      <c r="I7" s="112">
        <v>0</v>
      </c>
      <c r="J7" s="112">
        <v>0</v>
      </c>
    </row>
    <row r="8" spans="1:10" ht="12.75" customHeight="1">
      <c r="B8" s="20"/>
      <c r="C8" s="41" t="s">
        <v>77</v>
      </c>
      <c r="D8" s="12">
        <f>SUM(D3:D7)</f>
        <v>143495</v>
      </c>
      <c r="E8" s="12">
        <f>SUM(E3:E7)</f>
        <v>168023.67999999999</v>
      </c>
      <c r="F8" s="12">
        <f>SUM(F3:F7)</f>
        <v>146761</v>
      </c>
      <c r="G8" s="12">
        <f>SUM(G3:G7)</f>
        <v>155314</v>
      </c>
      <c r="H8" s="47">
        <f>SUM(H3:H7)</f>
        <v>118154</v>
      </c>
      <c r="I8" s="24"/>
      <c r="J8" s="24"/>
    </row>
    <row r="9" spans="1:10" ht="12.75" customHeight="1">
      <c r="B9" s="20"/>
      <c r="G9" s="24"/>
      <c r="H9" s="21"/>
      <c r="I9" s="24"/>
      <c r="J9" s="24"/>
    </row>
    <row r="10" spans="1:10">
      <c r="A10" t="s">
        <v>108</v>
      </c>
      <c r="D10" s="19"/>
      <c r="E10" s="19"/>
      <c r="F10" s="19"/>
      <c r="G10" s="24" t="s">
        <v>78</v>
      </c>
      <c r="H10" s="74" t="s">
        <v>677</v>
      </c>
      <c r="I10" s="25" t="s">
        <v>677</v>
      </c>
      <c r="J10" s="25" t="s">
        <v>677</v>
      </c>
    </row>
    <row r="11" spans="1:10">
      <c r="A11" t="s">
        <v>253</v>
      </c>
      <c r="H11" s="1"/>
    </row>
    <row r="12" spans="1:10">
      <c r="A12" t="s">
        <v>839</v>
      </c>
      <c r="B12" t="s">
        <v>63</v>
      </c>
      <c r="D12" s="57">
        <f>53120*102%</f>
        <v>54182.400000000001</v>
      </c>
      <c r="E12" s="57">
        <v>46827.42</v>
      </c>
      <c r="F12" s="57">
        <v>48555</v>
      </c>
      <c r="G12" s="57">
        <v>48871</v>
      </c>
      <c r="H12" s="60">
        <v>49862</v>
      </c>
      <c r="I12" s="58">
        <v>39983</v>
      </c>
      <c r="J12" s="12">
        <v>37118</v>
      </c>
    </row>
    <row r="13" spans="1:10">
      <c r="A13" t="s">
        <v>249</v>
      </c>
      <c r="D13" s="58"/>
      <c r="E13" s="58"/>
      <c r="F13" s="58"/>
      <c r="G13" s="58"/>
      <c r="H13" s="58"/>
      <c r="I13" s="58"/>
      <c r="J13" s="12"/>
    </row>
    <row r="14" spans="1:10">
      <c r="A14" t="s">
        <v>841</v>
      </c>
      <c r="B14" t="s">
        <v>251</v>
      </c>
      <c r="D14" s="57">
        <f>0.0725*D12</f>
        <v>3928.2239999999997</v>
      </c>
      <c r="E14" s="57">
        <v>3395.08</v>
      </c>
      <c r="F14" s="57">
        <v>3521</v>
      </c>
      <c r="G14" s="57">
        <v>2672</v>
      </c>
      <c r="H14" s="58">
        <v>3366</v>
      </c>
      <c r="I14" s="58">
        <v>2584</v>
      </c>
      <c r="J14" s="12">
        <v>2055</v>
      </c>
    </row>
    <row r="15" spans="1:10">
      <c r="A15" t="s">
        <v>840</v>
      </c>
      <c r="B15" t="s">
        <v>111</v>
      </c>
      <c r="D15" s="57">
        <f>0.062*D12</f>
        <v>3359.3088000000002</v>
      </c>
      <c r="E15" s="57">
        <v>2851.71</v>
      </c>
      <c r="F15" s="57">
        <v>2959</v>
      </c>
      <c r="G15" s="57">
        <v>2933</v>
      </c>
      <c r="H15" s="58">
        <v>2793</v>
      </c>
      <c r="I15" s="58">
        <v>2129</v>
      </c>
      <c r="J15" s="12">
        <v>2032</v>
      </c>
    </row>
    <row r="16" spans="1:10">
      <c r="A16" t="s">
        <v>842</v>
      </c>
      <c r="B16" t="s">
        <v>113</v>
      </c>
      <c r="D16" s="57">
        <f>0.0145*D12</f>
        <v>785.64480000000003</v>
      </c>
      <c r="E16" s="57">
        <v>667.03</v>
      </c>
      <c r="F16" s="57">
        <v>692</v>
      </c>
      <c r="G16" s="57">
        <v>686</v>
      </c>
      <c r="H16" s="58">
        <v>653</v>
      </c>
      <c r="I16" s="58">
        <v>498</v>
      </c>
      <c r="J16" s="12">
        <v>475</v>
      </c>
    </row>
    <row r="17" spans="1:10">
      <c r="A17" t="s">
        <v>244</v>
      </c>
      <c r="D17" s="58"/>
      <c r="E17" s="58"/>
      <c r="F17" s="58"/>
      <c r="G17" s="58"/>
      <c r="H17" s="58"/>
      <c r="I17" s="58"/>
      <c r="J17" s="12"/>
    </row>
    <row r="18" spans="1:10">
      <c r="A18" t="s">
        <v>843</v>
      </c>
      <c r="B18" t="s">
        <v>246</v>
      </c>
      <c r="D18" s="57">
        <v>5878</v>
      </c>
      <c r="E18" s="57">
        <v>0</v>
      </c>
      <c r="F18" s="57">
        <v>0</v>
      </c>
      <c r="G18" s="57">
        <v>2259</v>
      </c>
      <c r="H18" s="60">
        <v>9018</v>
      </c>
      <c r="I18" s="58">
        <v>8010</v>
      </c>
      <c r="J18" s="12">
        <v>6816</v>
      </c>
    </row>
    <row r="19" spans="1:10">
      <c r="A19" t="s">
        <v>844</v>
      </c>
      <c r="B19" t="s">
        <v>248</v>
      </c>
      <c r="D19" s="57">
        <v>304</v>
      </c>
      <c r="E19" s="57">
        <v>0</v>
      </c>
      <c r="F19" s="57">
        <v>0</v>
      </c>
      <c r="G19" s="57">
        <v>166</v>
      </c>
      <c r="H19" s="60">
        <v>585</v>
      </c>
      <c r="I19" s="58">
        <v>465</v>
      </c>
      <c r="J19" s="12">
        <v>425</v>
      </c>
    </row>
    <row r="20" spans="1:10">
      <c r="A20" t="s">
        <v>58</v>
      </c>
      <c r="D20" s="58"/>
      <c r="E20" s="58"/>
      <c r="F20" s="58"/>
      <c r="G20" s="58"/>
      <c r="H20" s="58"/>
      <c r="I20" s="58"/>
      <c r="J20" s="12"/>
    </row>
    <row r="21" spans="1:10">
      <c r="A21" t="s">
        <v>845</v>
      </c>
      <c r="B21" t="s">
        <v>243</v>
      </c>
      <c r="D21" s="57">
        <f>372*106%</f>
        <v>394.32</v>
      </c>
      <c r="E21" s="57">
        <v>281</v>
      </c>
      <c r="F21" s="57">
        <v>811</v>
      </c>
      <c r="G21" s="57">
        <v>356</v>
      </c>
      <c r="H21" s="58">
        <v>200</v>
      </c>
      <c r="I21" s="58">
        <v>0</v>
      </c>
      <c r="J21" s="12">
        <v>160</v>
      </c>
    </row>
    <row r="22" spans="1:10">
      <c r="A22" t="s">
        <v>852</v>
      </c>
      <c r="D22" s="57"/>
      <c r="E22" s="57"/>
      <c r="F22" s="57"/>
      <c r="G22" s="57"/>
      <c r="H22" s="58"/>
      <c r="I22" s="58"/>
      <c r="J22" s="12"/>
    </row>
    <row r="23" spans="1:10">
      <c r="A23" t="s">
        <v>853</v>
      </c>
      <c r="B23" t="s">
        <v>712</v>
      </c>
      <c r="D23" s="57">
        <v>75</v>
      </c>
      <c r="E23" s="57">
        <v>9.41</v>
      </c>
      <c r="F23" s="57">
        <v>79</v>
      </c>
      <c r="G23" s="57">
        <v>108</v>
      </c>
      <c r="H23" s="58">
        <v>0</v>
      </c>
      <c r="I23" s="58">
        <v>63</v>
      </c>
      <c r="J23" s="12">
        <v>-30</v>
      </c>
    </row>
    <row r="24" spans="1:10">
      <c r="A24" t="s">
        <v>854</v>
      </c>
      <c r="B24" t="s">
        <v>48</v>
      </c>
      <c r="D24" s="57">
        <v>200</v>
      </c>
      <c r="E24" s="57">
        <v>-225.45</v>
      </c>
      <c r="F24" s="57">
        <v>37</v>
      </c>
      <c r="G24" s="57">
        <v>67</v>
      </c>
      <c r="H24" s="58">
        <v>678</v>
      </c>
      <c r="I24" s="58">
        <v>76</v>
      </c>
      <c r="J24" s="12">
        <v>339</v>
      </c>
    </row>
    <row r="25" spans="1:10">
      <c r="A25" t="s">
        <v>855</v>
      </c>
      <c r="B25" t="s">
        <v>856</v>
      </c>
      <c r="D25" s="57">
        <v>250</v>
      </c>
      <c r="E25" s="57">
        <v>81.83</v>
      </c>
      <c r="F25" s="57">
        <v>219</v>
      </c>
      <c r="G25" s="57">
        <v>37</v>
      </c>
      <c r="H25" s="58">
        <v>0</v>
      </c>
      <c r="I25" s="58">
        <v>0</v>
      </c>
      <c r="J25" s="12">
        <v>165</v>
      </c>
    </row>
    <row r="26" spans="1:10">
      <c r="A26" t="s">
        <v>877</v>
      </c>
      <c r="B26" t="s">
        <v>713</v>
      </c>
      <c r="D26" s="57"/>
      <c r="E26" s="57"/>
      <c r="F26" s="57"/>
      <c r="G26" s="57"/>
      <c r="H26" s="58"/>
      <c r="I26" s="58"/>
      <c r="J26" s="12"/>
    </row>
    <row r="27" spans="1:10">
      <c r="A27" t="s">
        <v>857</v>
      </c>
      <c r="B27" t="s">
        <v>752</v>
      </c>
      <c r="D27" s="57">
        <v>388</v>
      </c>
      <c r="E27" s="57">
        <v>248.37</v>
      </c>
      <c r="F27" s="57">
        <v>134</v>
      </c>
      <c r="G27" s="57">
        <v>222</v>
      </c>
      <c r="H27" s="58">
        <v>1106</v>
      </c>
      <c r="I27" s="58">
        <v>1823</v>
      </c>
      <c r="J27" s="12">
        <v>2074</v>
      </c>
    </row>
    <row r="28" spans="1:10">
      <c r="A28" t="s">
        <v>858</v>
      </c>
      <c r="D28" s="57"/>
      <c r="E28" s="57"/>
      <c r="F28" s="57"/>
      <c r="G28" s="57"/>
      <c r="H28" s="58"/>
      <c r="I28" s="58"/>
      <c r="J28" s="12"/>
    </row>
    <row r="29" spans="1:10">
      <c r="A29" t="s">
        <v>878</v>
      </c>
      <c r="B29" t="s">
        <v>210</v>
      </c>
      <c r="D29" s="57">
        <v>0</v>
      </c>
      <c r="E29" s="57">
        <v>0</v>
      </c>
      <c r="F29" s="57">
        <v>0</v>
      </c>
      <c r="G29" s="57">
        <v>0</v>
      </c>
      <c r="H29" s="58">
        <v>517</v>
      </c>
      <c r="I29" s="58">
        <v>456</v>
      </c>
      <c r="J29" s="12">
        <v>273</v>
      </c>
    </row>
    <row r="30" spans="1:10">
      <c r="A30" t="s">
        <v>859</v>
      </c>
      <c r="B30" t="s">
        <v>752</v>
      </c>
      <c r="D30" s="57">
        <v>800</v>
      </c>
      <c r="E30" s="57">
        <v>2576.39</v>
      </c>
      <c r="F30" s="57">
        <v>1631</v>
      </c>
      <c r="G30" s="57">
        <v>624</v>
      </c>
      <c r="H30" s="58">
        <v>2754</v>
      </c>
      <c r="I30" s="58">
        <v>246</v>
      </c>
      <c r="J30" s="12">
        <v>661</v>
      </c>
    </row>
    <row r="31" spans="1:10">
      <c r="A31" t="s">
        <v>28</v>
      </c>
      <c r="D31" s="57"/>
      <c r="E31" s="57"/>
      <c r="F31" s="57"/>
      <c r="G31" s="57"/>
      <c r="H31" s="58"/>
      <c r="I31" s="58"/>
      <c r="J31" s="12"/>
    </row>
    <row r="32" spans="1:10">
      <c r="A32" t="s">
        <v>880</v>
      </c>
      <c r="B32" t="s">
        <v>753</v>
      </c>
      <c r="D32" s="57">
        <v>0</v>
      </c>
      <c r="E32" s="57">
        <v>0</v>
      </c>
      <c r="F32" s="57">
        <v>0</v>
      </c>
      <c r="G32" s="57">
        <v>0</v>
      </c>
      <c r="H32" s="58">
        <v>0</v>
      </c>
      <c r="I32" s="58">
        <v>170</v>
      </c>
      <c r="J32" s="12">
        <v>0</v>
      </c>
    </row>
    <row r="33" spans="1:10">
      <c r="A33" t="s">
        <v>833</v>
      </c>
      <c r="D33" s="57"/>
      <c r="E33" s="57"/>
      <c r="F33" s="57"/>
      <c r="G33" s="57"/>
      <c r="H33" s="58"/>
      <c r="I33" s="58"/>
      <c r="J33" s="12"/>
    </row>
    <row r="34" spans="1:10">
      <c r="A34" t="s">
        <v>846</v>
      </c>
      <c r="B34" t="s">
        <v>11</v>
      </c>
      <c r="D34" s="57">
        <f>1224*102%</f>
        <v>1248.48</v>
      </c>
      <c r="E34" s="57">
        <v>1275</v>
      </c>
      <c r="F34" s="57">
        <v>1200</v>
      </c>
      <c r="G34" s="57">
        <v>1180</v>
      </c>
      <c r="H34" s="58">
        <v>1077</v>
      </c>
      <c r="I34" s="58">
        <v>1077</v>
      </c>
      <c r="J34" s="12">
        <v>1042</v>
      </c>
    </row>
    <row r="35" spans="1:10">
      <c r="A35" s="41" t="s">
        <v>1023</v>
      </c>
      <c r="B35" t="s">
        <v>17</v>
      </c>
      <c r="D35" s="57">
        <v>50</v>
      </c>
      <c r="E35" s="57">
        <v>0</v>
      </c>
      <c r="F35" s="57">
        <v>0</v>
      </c>
      <c r="G35" s="57">
        <v>0</v>
      </c>
      <c r="H35" s="58">
        <v>0</v>
      </c>
      <c r="I35" s="58">
        <v>504</v>
      </c>
      <c r="J35" s="12">
        <v>0</v>
      </c>
    </row>
    <row r="36" spans="1:10">
      <c r="A36" t="s">
        <v>8</v>
      </c>
      <c r="D36" s="57"/>
      <c r="E36" s="57"/>
      <c r="F36" s="57"/>
      <c r="G36" s="57"/>
      <c r="H36" s="58"/>
      <c r="I36" s="58"/>
      <c r="J36" s="12"/>
    </row>
    <row r="37" spans="1:10">
      <c r="A37" t="s">
        <v>866</v>
      </c>
      <c r="B37" t="s">
        <v>119</v>
      </c>
      <c r="D37" s="57">
        <v>1000</v>
      </c>
      <c r="E37" s="57">
        <v>835.09</v>
      </c>
      <c r="F37" s="57">
        <v>856</v>
      </c>
      <c r="G37" s="57">
        <v>789</v>
      </c>
      <c r="H37" s="58">
        <v>1127</v>
      </c>
      <c r="I37" s="58">
        <v>870</v>
      </c>
      <c r="J37" s="12">
        <v>982</v>
      </c>
    </row>
    <row r="38" spans="1:10">
      <c r="A38" t="s">
        <v>879</v>
      </c>
      <c r="B38" t="s">
        <v>120</v>
      </c>
      <c r="D38" s="57">
        <v>0</v>
      </c>
      <c r="E38" s="57">
        <v>0</v>
      </c>
      <c r="F38" s="57">
        <v>0</v>
      </c>
      <c r="G38" s="57">
        <v>0</v>
      </c>
      <c r="H38" s="58">
        <v>0</v>
      </c>
      <c r="I38" s="58">
        <v>19</v>
      </c>
      <c r="J38" s="12">
        <v>0</v>
      </c>
    </row>
    <row r="39" spans="1:10">
      <c r="A39" t="s">
        <v>193</v>
      </c>
      <c r="D39" s="57"/>
      <c r="E39" s="57"/>
      <c r="F39" s="57"/>
      <c r="G39" s="57"/>
      <c r="H39" s="58"/>
      <c r="I39" s="58"/>
      <c r="J39" s="12"/>
    </row>
    <row r="40" spans="1:10">
      <c r="A40" t="s">
        <v>867</v>
      </c>
      <c r="B40" t="s">
        <v>195</v>
      </c>
      <c r="D40" s="57">
        <v>250</v>
      </c>
      <c r="E40" s="57">
        <v>504.9</v>
      </c>
      <c r="F40" s="57">
        <v>32</v>
      </c>
      <c r="G40" s="57">
        <v>216</v>
      </c>
      <c r="H40" s="58">
        <v>254</v>
      </c>
      <c r="I40" s="58">
        <v>153</v>
      </c>
      <c r="J40" s="12">
        <v>118</v>
      </c>
    </row>
    <row r="41" spans="1:10">
      <c r="A41" t="s">
        <v>186</v>
      </c>
      <c r="D41" s="57"/>
      <c r="E41" s="57"/>
      <c r="F41" s="57"/>
      <c r="G41" s="57"/>
      <c r="H41" s="58"/>
      <c r="I41" s="58"/>
      <c r="J41" s="12"/>
    </row>
    <row r="42" spans="1:10">
      <c r="A42" s="41" t="s">
        <v>888</v>
      </c>
      <c r="B42" s="41" t="s">
        <v>190</v>
      </c>
      <c r="D42" s="57">
        <v>0</v>
      </c>
      <c r="E42" s="57">
        <v>0</v>
      </c>
      <c r="F42" s="57">
        <v>0</v>
      </c>
      <c r="G42" s="57">
        <v>0</v>
      </c>
      <c r="H42" s="58">
        <v>147.84</v>
      </c>
      <c r="I42" s="58">
        <v>0</v>
      </c>
      <c r="J42" s="12">
        <v>0</v>
      </c>
    </row>
    <row r="43" spans="1:10">
      <c r="A43" t="s">
        <v>868</v>
      </c>
      <c r="B43" t="s">
        <v>191</v>
      </c>
      <c r="D43" s="57">
        <v>260</v>
      </c>
      <c r="E43" s="57">
        <v>0</v>
      </c>
      <c r="F43" s="57">
        <v>0</v>
      </c>
      <c r="G43" s="57">
        <v>180</v>
      </c>
      <c r="H43" s="58">
        <v>65</v>
      </c>
      <c r="I43" s="58">
        <v>199</v>
      </c>
      <c r="J43" s="12">
        <v>281</v>
      </c>
    </row>
    <row r="44" spans="1:10">
      <c r="A44" t="s">
        <v>180</v>
      </c>
      <c r="D44" s="57"/>
      <c r="E44" s="57"/>
      <c r="F44" s="57"/>
      <c r="G44" s="57"/>
      <c r="H44" s="58"/>
      <c r="I44" s="58"/>
      <c r="J44" s="12"/>
    </row>
    <row r="45" spans="1:10">
      <c r="A45" t="s">
        <v>869</v>
      </c>
      <c r="B45" t="s">
        <v>870</v>
      </c>
      <c r="D45" s="57">
        <v>0</v>
      </c>
      <c r="E45" s="57">
        <v>0</v>
      </c>
      <c r="F45" s="57">
        <v>0</v>
      </c>
      <c r="G45" s="57">
        <v>0</v>
      </c>
      <c r="H45" s="58">
        <v>0</v>
      </c>
      <c r="I45" s="58">
        <v>127</v>
      </c>
      <c r="J45" s="12">
        <v>0</v>
      </c>
    </row>
    <row r="46" spans="1:10">
      <c r="A46" s="19" t="s">
        <v>173</v>
      </c>
      <c r="D46" s="58"/>
      <c r="E46" s="58"/>
      <c r="F46" s="58"/>
      <c r="G46" s="58"/>
      <c r="H46" s="58"/>
      <c r="I46" s="58"/>
      <c r="J46" s="12"/>
    </row>
    <row r="47" spans="1:10">
      <c r="A47" t="s">
        <v>847</v>
      </c>
      <c r="B47" t="s">
        <v>176</v>
      </c>
      <c r="D47" s="57">
        <f>839*107%</f>
        <v>897.73</v>
      </c>
      <c r="E47" s="57">
        <v>0</v>
      </c>
      <c r="F47" s="57">
        <v>784</v>
      </c>
      <c r="G47" s="57">
        <v>814</v>
      </c>
      <c r="H47" s="58">
        <v>797</v>
      </c>
      <c r="I47" s="58">
        <v>770</v>
      </c>
      <c r="J47" s="12">
        <v>727</v>
      </c>
    </row>
    <row r="48" spans="1:10">
      <c r="A48" s="41" t="s">
        <v>1016</v>
      </c>
      <c r="D48" s="57"/>
      <c r="E48" s="57"/>
      <c r="F48" s="57"/>
      <c r="G48" s="57"/>
      <c r="H48" s="58"/>
      <c r="I48" s="58"/>
      <c r="J48" s="12"/>
    </row>
    <row r="49" spans="1:10">
      <c r="A49" s="41" t="s">
        <v>1022</v>
      </c>
      <c r="B49" s="41" t="s">
        <v>1008</v>
      </c>
      <c r="D49" s="57">
        <v>0</v>
      </c>
      <c r="E49" s="57">
        <v>70317.539999999994</v>
      </c>
      <c r="F49" s="57">
        <v>0</v>
      </c>
      <c r="G49" s="57">
        <v>0</v>
      </c>
      <c r="H49" s="58">
        <v>0</v>
      </c>
      <c r="I49" s="58">
        <v>0</v>
      </c>
      <c r="J49" s="12">
        <v>0</v>
      </c>
    </row>
    <row r="50" spans="1:10">
      <c r="A50" t="s">
        <v>665</v>
      </c>
      <c r="D50" s="57"/>
      <c r="E50" s="57"/>
      <c r="F50" s="57"/>
      <c r="G50" s="57"/>
      <c r="H50" s="58"/>
      <c r="I50" s="58"/>
      <c r="J50" s="12"/>
    </row>
    <row r="51" spans="1:10">
      <c r="A51" t="s">
        <v>871</v>
      </c>
      <c r="B51" t="s">
        <v>872</v>
      </c>
      <c r="D51" s="57">
        <v>10000</v>
      </c>
      <c r="E51" s="57">
        <v>10000</v>
      </c>
      <c r="F51" s="57">
        <v>10000</v>
      </c>
      <c r="G51" s="57">
        <v>10000</v>
      </c>
      <c r="H51" s="58">
        <v>2336</v>
      </c>
      <c r="I51" s="58">
        <v>780</v>
      </c>
      <c r="J51" s="12">
        <v>0</v>
      </c>
    </row>
    <row r="52" spans="1:10">
      <c r="A52" t="s">
        <v>873</v>
      </c>
      <c r="B52" t="s">
        <v>874</v>
      </c>
      <c r="D52" s="57">
        <v>0</v>
      </c>
      <c r="E52" s="57">
        <v>162.19</v>
      </c>
      <c r="F52" s="57">
        <v>4300</v>
      </c>
      <c r="G52" s="57">
        <v>6379</v>
      </c>
      <c r="H52" s="58">
        <v>0</v>
      </c>
      <c r="I52" s="58">
        <v>1775</v>
      </c>
      <c r="J52" s="12">
        <v>1930</v>
      </c>
    </row>
    <row r="53" spans="1:10">
      <c r="A53" t="s">
        <v>875</v>
      </c>
      <c r="D53" s="57"/>
      <c r="E53" s="57"/>
      <c r="F53" s="57"/>
      <c r="G53" s="57"/>
      <c r="H53" s="58"/>
      <c r="I53" s="58"/>
      <c r="J53" s="12"/>
    </row>
    <row r="54" spans="1:10">
      <c r="A54" t="s">
        <v>932</v>
      </c>
      <c r="B54" t="s">
        <v>933</v>
      </c>
      <c r="D54" s="57">
        <v>5000</v>
      </c>
      <c r="E54" s="57">
        <v>2676</v>
      </c>
      <c r="F54" s="57">
        <v>5360</v>
      </c>
      <c r="G54" s="57">
        <v>0</v>
      </c>
      <c r="H54" s="58">
        <v>0</v>
      </c>
      <c r="I54" s="58">
        <v>0</v>
      </c>
      <c r="J54" s="12">
        <v>0</v>
      </c>
    </row>
    <row r="55" spans="1:10">
      <c r="A55" t="s">
        <v>876</v>
      </c>
      <c r="B55" t="s">
        <v>160</v>
      </c>
      <c r="D55" s="57"/>
      <c r="E55" s="57"/>
      <c r="F55" s="57"/>
      <c r="G55" s="57"/>
      <c r="H55" s="58"/>
      <c r="I55" s="58"/>
      <c r="J55" s="12"/>
    </row>
    <row r="56" spans="1:10">
      <c r="A56" t="s">
        <v>151</v>
      </c>
      <c r="D56" s="58"/>
      <c r="E56" s="58"/>
      <c r="F56" s="58"/>
      <c r="G56" s="58"/>
      <c r="H56" s="58"/>
      <c r="I56" s="58"/>
      <c r="J56" s="12"/>
    </row>
    <row r="57" spans="1:10">
      <c r="A57" t="s">
        <v>848</v>
      </c>
      <c r="B57" t="s">
        <v>152</v>
      </c>
      <c r="D57" s="58">
        <v>600</v>
      </c>
      <c r="E57" s="58">
        <v>192.53</v>
      </c>
      <c r="F57" s="58">
        <v>250</v>
      </c>
      <c r="G57" s="58">
        <v>1540</v>
      </c>
      <c r="H57" s="58">
        <v>1211</v>
      </c>
      <c r="I57" s="58">
        <v>1155</v>
      </c>
      <c r="J57" s="12">
        <v>1074</v>
      </c>
    </row>
    <row r="58" spans="1:10">
      <c r="A58" t="s">
        <v>849</v>
      </c>
      <c r="B58" t="s">
        <v>153</v>
      </c>
      <c r="D58" s="58"/>
      <c r="E58" s="58"/>
      <c r="F58" s="58"/>
      <c r="G58" s="58"/>
      <c r="H58" s="58"/>
      <c r="I58" s="58"/>
      <c r="J58" s="12"/>
    </row>
    <row r="59" spans="1:10">
      <c r="A59" t="s">
        <v>850</v>
      </c>
      <c r="B59" t="s">
        <v>155</v>
      </c>
      <c r="D59" s="58">
        <v>20520</v>
      </c>
      <c r="E59" s="58">
        <v>20520</v>
      </c>
      <c r="F59" s="58">
        <v>25650</v>
      </c>
      <c r="G59" s="58">
        <v>15390</v>
      </c>
      <c r="H59" s="58">
        <v>10000</v>
      </c>
      <c r="I59" s="58">
        <v>10000</v>
      </c>
      <c r="J59" s="12">
        <v>10000</v>
      </c>
    </row>
    <row r="60" spans="1:10">
      <c r="A60" t="s">
        <v>851</v>
      </c>
      <c r="B60" t="s">
        <v>125</v>
      </c>
      <c r="D60" s="57">
        <v>13342</v>
      </c>
      <c r="E60" s="57">
        <v>9994</v>
      </c>
      <c r="F60" s="57">
        <v>2449</v>
      </c>
      <c r="G60" s="57">
        <v>14618</v>
      </c>
      <c r="H60" s="58">
        <v>14147</v>
      </c>
      <c r="I60" s="58">
        <v>14294</v>
      </c>
      <c r="J60" s="12">
        <v>13711</v>
      </c>
    </row>
    <row r="61" spans="1:10">
      <c r="A61" t="s">
        <v>804</v>
      </c>
      <c r="D61" s="57"/>
      <c r="E61" s="57"/>
      <c r="F61" s="57"/>
      <c r="G61" s="57"/>
      <c r="H61" s="58"/>
      <c r="I61" s="58"/>
      <c r="J61" s="12"/>
    </row>
    <row r="62" spans="1:10">
      <c r="A62" t="s">
        <v>860</v>
      </c>
      <c r="B62" t="s">
        <v>861</v>
      </c>
      <c r="D62" s="58">
        <v>4841</v>
      </c>
      <c r="E62" s="58">
        <v>3864.55</v>
      </c>
      <c r="F62" s="58">
        <v>2731</v>
      </c>
      <c r="G62" s="58">
        <v>3547</v>
      </c>
      <c r="H62" s="58">
        <v>4274</v>
      </c>
      <c r="I62" s="58">
        <v>4185</v>
      </c>
      <c r="J62" s="12">
        <v>3534</v>
      </c>
    </row>
    <row r="63" spans="1:10">
      <c r="A63" t="s">
        <v>862</v>
      </c>
      <c r="B63" t="s">
        <v>123</v>
      </c>
      <c r="D63" s="58">
        <v>12000</v>
      </c>
      <c r="E63" s="58">
        <v>7532.97</v>
      </c>
      <c r="F63" s="58">
        <v>11561</v>
      </c>
      <c r="G63" s="58">
        <v>7671</v>
      </c>
      <c r="H63" s="58">
        <v>11106</v>
      </c>
      <c r="I63" s="58">
        <v>11718</v>
      </c>
      <c r="J63" s="12">
        <v>11558</v>
      </c>
    </row>
    <row r="64" spans="1:10">
      <c r="A64" t="s">
        <v>863</v>
      </c>
      <c r="B64" t="s">
        <v>122</v>
      </c>
      <c r="D64" s="58">
        <v>600</v>
      </c>
      <c r="E64" s="58">
        <v>120</v>
      </c>
      <c r="F64" s="58">
        <v>736</v>
      </c>
      <c r="G64" s="58">
        <v>232</v>
      </c>
      <c r="H64" s="58">
        <v>80</v>
      </c>
      <c r="I64" s="58">
        <v>501</v>
      </c>
      <c r="J64" s="12">
        <v>1038</v>
      </c>
    </row>
    <row r="65" spans="1:11">
      <c r="A65" t="s">
        <v>864</v>
      </c>
      <c r="B65" t="s">
        <v>804</v>
      </c>
      <c r="D65" s="58">
        <v>1000</v>
      </c>
      <c r="E65" s="58">
        <v>0</v>
      </c>
      <c r="F65" s="58">
        <v>1046</v>
      </c>
      <c r="G65" s="58">
        <v>0</v>
      </c>
      <c r="H65" s="58">
        <v>0</v>
      </c>
      <c r="I65" s="58">
        <v>23</v>
      </c>
      <c r="J65" s="12">
        <v>194</v>
      </c>
    </row>
    <row r="66" spans="1:11">
      <c r="A66" t="s">
        <v>865</v>
      </c>
      <c r="B66" t="s">
        <v>735</v>
      </c>
      <c r="D66" s="58">
        <v>300</v>
      </c>
      <c r="E66" s="58">
        <v>5</v>
      </c>
      <c r="F66" s="58">
        <v>136</v>
      </c>
      <c r="G66" s="58">
        <v>92</v>
      </c>
      <c r="H66" s="58">
        <v>0</v>
      </c>
      <c r="I66" s="58">
        <v>0</v>
      </c>
      <c r="J66" s="12">
        <v>116</v>
      </c>
    </row>
    <row r="67" spans="1:11">
      <c r="D67" s="58"/>
      <c r="E67" s="58"/>
      <c r="F67" s="58"/>
      <c r="G67" s="58"/>
      <c r="H67" s="58"/>
      <c r="I67" s="58"/>
      <c r="J67" s="12"/>
    </row>
    <row r="68" spans="1:11">
      <c r="A68" s="49"/>
      <c r="C68" t="s">
        <v>77</v>
      </c>
      <c r="D68" s="57">
        <f t="shared" ref="D68" si="0">SUM(D12:D66)</f>
        <v>142454.10759999999</v>
      </c>
      <c r="E68" s="57">
        <f t="shared" ref="E68:J68" si="1">SUM(E12:E66)</f>
        <v>184712.56</v>
      </c>
      <c r="F68" s="57">
        <f t="shared" si="1"/>
        <v>125729</v>
      </c>
      <c r="G68" s="57">
        <f t="shared" si="1"/>
        <v>121649</v>
      </c>
      <c r="H68" s="60">
        <f t="shared" si="1"/>
        <v>118153.84</v>
      </c>
      <c r="I68" s="57">
        <f t="shared" si="1"/>
        <v>104653</v>
      </c>
      <c r="J68" s="12">
        <f t="shared" si="1"/>
        <v>98868</v>
      </c>
    </row>
    <row r="69" spans="1:11">
      <c r="A69" s="59"/>
      <c r="D69" s="12"/>
      <c r="G69" s="49"/>
      <c r="H69" s="49"/>
      <c r="I69" s="49"/>
    </row>
    <row r="70" spans="1:11">
      <c r="A70" s="49"/>
      <c r="B70" t="s">
        <v>915</v>
      </c>
      <c r="D70" s="12">
        <v>84740</v>
      </c>
      <c r="E70" s="12">
        <v>84740</v>
      </c>
      <c r="F70" s="12">
        <v>94156</v>
      </c>
      <c r="K70" s="41"/>
    </row>
    <row r="72" spans="1:11">
      <c r="G72" s="31"/>
    </row>
    <row r="73" spans="1:11">
      <c r="G73" s="31"/>
    </row>
    <row r="74" spans="1:11">
      <c r="G74" s="31"/>
    </row>
  </sheetData>
  <phoneticPr fontId="2" type="noConversion"/>
  <pageMargins left="0.25" right="0.25" top="0.75" bottom="0.75" header="0.3" footer="0.3"/>
  <pageSetup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dimension ref="A1:L89"/>
  <sheetViews>
    <sheetView topLeftCell="A61" workbookViewId="0">
      <selection activeCell="G1" sqref="G1"/>
    </sheetView>
  </sheetViews>
  <sheetFormatPr defaultRowHeight="12.75"/>
  <cols>
    <col min="1" max="1" width="18.28515625" customWidth="1"/>
    <col min="2" max="2" width="27.5703125" customWidth="1"/>
    <col min="3" max="3" width="6.7109375" customWidth="1"/>
    <col min="4" max="4" width="11.7109375" customWidth="1"/>
    <col min="5" max="6" width="10.7109375" customWidth="1"/>
    <col min="7" max="7" width="11.28515625" customWidth="1"/>
    <col min="8" max="12" width="10.7109375" customWidth="1"/>
  </cols>
  <sheetData>
    <row r="1" spans="1:12" ht="15.75">
      <c r="B1" s="20" t="s">
        <v>4</v>
      </c>
      <c r="D1" s="21">
        <v>2013</v>
      </c>
      <c r="E1" s="109">
        <v>2012</v>
      </c>
      <c r="F1" s="74">
        <v>2011</v>
      </c>
      <c r="G1" s="24">
        <v>2010</v>
      </c>
      <c r="H1" s="74">
        <v>2009</v>
      </c>
      <c r="I1" s="24">
        <v>2008</v>
      </c>
      <c r="J1" s="24">
        <v>2007</v>
      </c>
    </row>
    <row r="2" spans="1:12">
      <c r="A2" t="s">
        <v>55</v>
      </c>
      <c r="D2" s="24" t="s">
        <v>676</v>
      </c>
      <c r="E2" s="74" t="s">
        <v>677</v>
      </c>
      <c r="F2" s="74" t="s">
        <v>677</v>
      </c>
      <c r="G2" s="74" t="s">
        <v>677</v>
      </c>
      <c r="H2" s="74" t="s">
        <v>677</v>
      </c>
      <c r="I2" s="25" t="s">
        <v>677</v>
      </c>
      <c r="J2" s="25" t="s">
        <v>677</v>
      </c>
    </row>
    <row r="3" spans="1:12">
      <c r="A3" s="19" t="s">
        <v>781</v>
      </c>
      <c r="B3" s="19" t="s">
        <v>782</v>
      </c>
      <c r="D3" s="12">
        <v>8250</v>
      </c>
      <c r="E3" s="12">
        <f>3061.49+587.99+450+610.31+359.68-444.03</f>
        <v>4625.4399999999996</v>
      </c>
      <c r="F3" s="12">
        <f>2193+724+150+82+285-649</f>
        <v>2785</v>
      </c>
      <c r="G3" s="12">
        <f>4578+690+247-76+493-611</f>
        <v>5321</v>
      </c>
      <c r="H3" s="12">
        <f>3673+1398-362+1289+97</f>
        <v>6095</v>
      </c>
      <c r="I3" s="12">
        <v>8240</v>
      </c>
      <c r="J3" s="12">
        <f>3285+6404+4704-590</f>
        <v>13803</v>
      </c>
    </row>
    <row r="4" spans="1:12">
      <c r="A4" t="s">
        <v>220</v>
      </c>
      <c r="B4" t="s">
        <v>221</v>
      </c>
      <c r="D4" s="12">
        <v>5500</v>
      </c>
      <c r="E4" s="12">
        <v>3477.48</v>
      </c>
      <c r="F4" s="12">
        <v>1953</v>
      </c>
      <c r="G4" s="12">
        <v>2437</v>
      </c>
      <c r="H4" s="12">
        <v>2777</v>
      </c>
      <c r="I4" s="12">
        <v>2485</v>
      </c>
      <c r="J4" s="12">
        <v>7911</v>
      </c>
    </row>
    <row r="5" spans="1:12">
      <c r="A5" t="s">
        <v>222</v>
      </c>
      <c r="B5" t="s">
        <v>223</v>
      </c>
      <c r="D5" s="12">
        <v>44500</v>
      </c>
      <c r="E5" s="12">
        <v>32438.59</v>
      </c>
      <c r="F5" s="12">
        <v>35652</v>
      </c>
      <c r="G5" s="12">
        <v>38723</v>
      </c>
      <c r="H5" s="12">
        <v>39530</v>
      </c>
      <c r="I5" s="12">
        <v>43193</v>
      </c>
      <c r="J5" s="12">
        <v>39944</v>
      </c>
    </row>
    <row r="6" spans="1:12">
      <c r="A6" t="s">
        <v>224</v>
      </c>
      <c r="B6" t="s">
        <v>225</v>
      </c>
      <c r="D6" s="12">
        <v>38500</v>
      </c>
      <c r="E6" s="12">
        <v>52812.98</v>
      </c>
      <c r="F6" s="12">
        <v>47357</v>
      </c>
      <c r="G6" s="12">
        <v>38808</v>
      </c>
      <c r="H6" s="12">
        <v>35261</v>
      </c>
      <c r="I6" s="12">
        <v>36628</v>
      </c>
      <c r="J6" s="12">
        <v>36312</v>
      </c>
    </row>
    <row r="7" spans="1:12">
      <c r="A7" t="s">
        <v>226</v>
      </c>
      <c r="B7" t="s">
        <v>227</v>
      </c>
      <c r="D7" s="12">
        <v>80000</v>
      </c>
      <c r="E7" s="12">
        <v>60533.39</v>
      </c>
      <c r="F7" s="12">
        <v>66806</v>
      </c>
      <c r="G7" s="12">
        <v>87314</v>
      </c>
      <c r="H7" s="12">
        <v>82897</v>
      </c>
      <c r="I7" s="12">
        <v>77941</v>
      </c>
      <c r="J7" s="12">
        <v>86425</v>
      </c>
    </row>
    <row r="8" spans="1:12">
      <c r="A8" t="s">
        <v>228</v>
      </c>
      <c r="B8" t="s">
        <v>229</v>
      </c>
      <c r="D8" s="12">
        <v>165000</v>
      </c>
      <c r="E8" s="12">
        <v>197528.7</v>
      </c>
      <c r="F8" s="12">
        <v>177241</v>
      </c>
      <c r="G8" s="12">
        <v>172350</v>
      </c>
      <c r="H8" s="12">
        <v>160664</v>
      </c>
      <c r="I8" s="12">
        <v>160156</v>
      </c>
      <c r="J8" s="12">
        <v>150989</v>
      </c>
    </row>
    <row r="9" spans="1:12">
      <c r="A9" t="s">
        <v>230</v>
      </c>
      <c r="B9" t="s">
        <v>231</v>
      </c>
      <c r="D9" s="12">
        <v>10500</v>
      </c>
      <c r="E9" s="12">
        <v>7154</v>
      </c>
      <c r="F9" s="12">
        <v>7873</v>
      </c>
      <c r="G9" s="12">
        <v>8329</v>
      </c>
      <c r="H9" s="12">
        <v>9774</v>
      </c>
      <c r="I9" s="12">
        <v>10392</v>
      </c>
      <c r="J9" s="12">
        <v>12920</v>
      </c>
    </row>
    <row r="10" spans="1:12">
      <c r="A10" t="s">
        <v>232</v>
      </c>
      <c r="B10" t="s">
        <v>233</v>
      </c>
      <c r="D10" s="58">
        <v>13075</v>
      </c>
      <c r="E10" s="58">
        <v>16315.2</v>
      </c>
      <c r="F10" s="58">
        <v>13134</v>
      </c>
      <c r="G10" s="58">
        <v>15366</v>
      </c>
      <c r="H10" s="58">
        <v>14290</v>
      </c>
      <c r="I10" s="58">
        <v>11480</v>
      </c>
      <c r="J10" s="12">
        <v>9970</v>
      </c>
    </row>
    <row r="11" spans="1:12">
      <c r="B11" s="42"/>
      <c r="D11" s="68"/>
      <c r="E11" s="68"/>
      <c r="F11" s="68"/>
      <c r="G11" s="68"/>
      <c r="H11" s="58"/>
      <c r="I11" s="58"/>
      <c r="J11" s="12">
        <v>47401</v>
      </c>
    </row>
    <row r="12" spans="1:12">
      <c r="A12" t="s">
        <v>798</v>
      </c>
      <c r="B12" s="38" t="s">
        <v>77</v>
      </c>
      <c r="D12" s="57">
        <f>SUM(D3:D11)</f>
        <v>365325</v>
      </c>
      <c r="E12" s="57">
        <f>SUM(E3:E11)</f>
        <v>374885.78</v>
      </c>
      <c r="F12" s="57">
        <f>SUM(F3:F11)</f>
        <v>352801</v>
      </c>
      <c r="G12" s="57">
        <f>SUM(G3:G11)</f>
        <v>368648</v>
      </c>
      <c r="H12" s="58">
        <f>SUM(H3:H10)</f>
        <v>351288</v>
      </c>
      <c r="I12" s="57">
        <f>SUM(I3:I10)</f>
        <v>350515</v>
      </c>
      <c r="J12" s="12">
        <f>SUM(J3:J10)</f>
        <v>358274</v>
      </c>
      <c r="L12" s="31"/>
    </row>
    <row r="13" spans="1:12">
      <c r="A13" t="s">
        <v>253</v>
      </c>
      <c r="D13" s="12"/>
      <c r="E13" s="58"/>
      <c r="F13" s="58"/>
      <c r="G13" s="58"/>
      <c r="H13" s="49"/>
      <c r="I13" s="58"/>
      <c r="J13" s="12"/>
      <c r="L13" s="12"/>
    </row>
    <row r="14" spans="1:12">
      <c r="A14" t="s">
        <v>587</v>
      </c>
      <c r="B14" t="s">
        <v>129</v>
      </c>
      <c r="D14" s="12">
        <v>0</v>
      </c>
      <c r="E14" s="57">
        <v>0</v>
      </c>
      <c r="F14" s="57">
        <v>0</v>
      </c>
      <c r="G14" s="57">
        <v>0</v>
      </c>
      <c r="H14" s="58">
        <v>34263</v>
      </c>
      <c r="I14" s="58">
        <v>35515</v>
      </c>
      <c r="J14" s="12">
        <v>34465</v>
      </c>
    </row>
    <row r="15" spans="1:12">
      <c r="A15" t="s">
        <v>588</v>
      </c>
      <c r="B15" t="s">
        <v>63</v>
      </c>
      <c r="D15" s="57">
        <f>(57332+20325)*102%</f>
        <v>79210.14</v>
      </c>
      <c r="E15" s="57">
        <v>68516.03</v>
      </c>
      <c r="F15" s="57">
        <f>498+74926</f>
        <v>75424</v>
      </c>
      <c r="G15" s="57">
        <v>73382</v>
      </c>
      <c r="H15" s="58">
        <v>60072</v>
      </c>
      <c r="I15" s="58">
        <f>24+59192</f>
        <v>59216</v>
      </c>
      <c r="J15" s="12">
        <v>60233</v>
      </c>
    </row>
    <row r="16" spans="1:12">
      <c r="A16" s="41" t="s">
        <v>1031</v>
      </c>
      <c r="B16" s="41" t="s">
        <v>1032</v>
      </c>
      <c r="D16" s="57">
        <v>0</v>
      </c>
      <c r="E16" s="57">
        <v>446.32</v>
      </c>
      <c r="F16" s="57">
        <v>0</v>
      </c>
      <c r="G16" s="57">
        <v>0</v>
      </c>
      <c r="H16" s="58">
        <v>0</v>
      </c>
      <c r="I16" s="58">
        <v>0</v>
      </c>
      <c r="J16" s="12">
        <v>0</v>
      </c>
    </row>
    <row r="17" spans="1:10">
      <c r="A17" t="s">
        <v>249</v>
      </c>
      <c r="D17" s="12"/>
      <c r="E17" s="58"/>
      <c r="F17" s="58"/>
      <c r="G17" s="58"/>
      <c r="H17" s="58"/>
      <c r="I17" s="58"/>
      <c r="J17" s="12"/>
    </row>
    <row r="18" spans="1:10">
      <c r="A18" t="s">
        <v>589</v>
      </c>
      <c r="B18" t="s">
        <v>251</v>
      </c>
      <c r="D18" s="57">
        <f>SUM(D14:D17)*0.0725</f>
        <v>5742.7351499999995</v>
      </c>
      <c r="E18" s="57">
        <v>4192.1899999999996</v>
      </c>
      <c r="F18" s="57">
        <v>4724</v>
      </c>
      <c r="G18" s="57">
        <v>4524</v>
      </c>
      <c r="H18" s="58">
        <v>6208</v>
      </c>
      <c r="I18" s="58">
        <v>5717</v>
      </c>
      <c r="J18" s="12">
        <v>5417</v>
      </c>
    </row>
    <row r="19" spans="1:10">
      <c r="A19" t="s">
        <v>590</v>
      </c>
      <c r="B19" t="s">
        <v>111</v>
      </c>
      <c r="D19" s="58">
        <f>0.062*(D14+D15)</f>
        <v>4911.0286800000003</v>
      </c>
      <c r="E19" s="58">
        <v>4266.18</v>
      </c>
      <c r="F19" s="58">
        <v>4632</v>
      </c>
      <c r="G19" s="57">
        <v>4473</v>
      </c>
      <c r="H19" s="58">
        <v>5732</v>
      </c>
      <c r="I19" s="58">
        <v>5738</v>
      </c>
      <c r="J19" s="12">
        <v>5450</v>
      </c>
    </row>
    <row r="20" spans="1:10">
      <c r="A20" t="s">
        <v>591</v>
      </c>
      <c r="B20" t="s">
        <v>113</v>
      </c>
      <c r="D20" s="58">
        <f>0.0145*(D14+D15)</f>
        <v>1148.5470299999999</v>
      </c>
      <c r="E20" s="58">
        <v>997.72</v>
      </c>
      <c r="F20" s="58">
        <v>1083</v>
      </c>
      <c r="G20" s="57">
        <v>1046</v>
      </c>
      <c r="H20" s="58">
        <v>1340</v>
      </c>
      <c r="I20" s="58">
        <v>1342</v>
      </c>
      <c r="J20" s="12">
        <v>1275</v>
      </c>
    </row>
    <row r="21" spans="1:10">
      <c r="A21" t="s">
        <v>244</v>
      </c>
      <c r="D21" s="58"/>
      <c r="E21" s="58"/>
      <c r="F21" s="58"/>
      <c r="G21" s="58"/>
      <c r="H21" s="58"/>
      <c r="I21" s="58"/>
      <c r="J21" s="31"/>
    </row>
    <row r="22" spans="1:10">
      <c r="A22" t="s">
        <v>592</v>
      </c>
      <c r="B22" t="s">
        <v>246</v>
      </c>
      <c r="D22" s="57">
        <v>5878</v>
      </c>
      <c r="E22" s="57">
        <v>0</v>
      </c>
      <c r="F22" s="57">
        <v>0</v>
      </c>
      <c r="G22" s="57">
        <v>0</v>
      </c>
      <c r="H22" s="60">
        <v>9018</v>
      </c>
      <c r="I22" s="58">
        <v>8010</v>
      </c>
      <c r="J22" s="12">
        <v>6816</v>
      </c>
    </row>
    <row r="23" spans="1:10">
      <c r="A23" t="s">
        <v>900</v>
      </c>
      <c r="B23" t="s">
        <v>248</v>
      </c>
      <c r="D23" s="58">
        <v>304</v>
      </c>
      <c r="E23" s="58">
        <v>283.68</v>
      </c>
      <c r="F23" s="58">
        <v>126</v>
      </c>
      <c r="G23" s="58">
        <v>0</v>
      </c>
      <c r="H23" s="60">
        <v>584</v>
      </c>
      <c r="I23" s="58">
        <v>465</v>
      </c>
      <c r="J23" s="12">
        <v>426</v>
      </c>
    </row>
    <row r="24" spans="1:10">
      <c r="A24" t="s">
        <v>899</v>
      </c>
      <c r="B24" t="s">
        <v>760</v>
      </c>
      <c r="D24" s="58">
        <v>0</v>
      </c>
      <c r="E24" s="58">
        <v>3652</v>
      </c>
      <c r="F24" s="58">
        <v>0</v>
      </c>
      <c r="G24" s="58">
        <v>10672</v>
      </c>
      <c r="H24" s="60">
        <v>1315</v>
      </c>
      <c r="I24" s="58">
        <v>0</v>
      </c>
      <c r="J24" s="12">
        <v>0</v>
      </c>
    </row>
    <row r="25" spans="1:10">
      <c r="A25" t="s">
        <v>58</v>
      </c>
      <c r="D25" s="58"/>
      <c r="E25" s="58"/>
      <c r="F25" s="58"/>
      <c r="G25" s="58"/>
      <c r="H25" s="58"/>
      <c r="I25" s="58"/>
      <c r="J25" s="12"/>
    </row>
    <row r="26" spans="1:10">
      <c r="A26" t="s">
        <v>593</v>
      </c>
      <c r="B26" t="s">
        <v>243</v>
      </c>
      <c r="D26" s="57">
        <f>1995*106%</f>
        <v>2114.7000000000003</v>
      </c>
      <c r="E26" s="57">
        <v>2330</v>
      </c>
      <c r="F26" s="57">
        <v>4494</v>
      </c>
      <c r="G26" s="57">
        <v>2185</v>
      </c>
      <c r="H26" s="58">
        <v>2823</v>
      </c>
      <c r="I26" s="58">
        <v>2623</v>
      </c>
      <c r="J26" s="12">
        <v>3943</v>
      </c>
    </row>
    <row r="27" spans="1:10">
      <c r="A27" t="s">
        <v>44</v>
      </c>
      <c r="D27" s="58"/>
      <c r="E27" s="58"/>
      <c r="F27" s="58"/>
      <c r="G27" s="58"/>
      <c r="H27" s="58"/>
      <c r="I27" s="58"/>
      <c r="J27" s="12"/>
    </row>
    <row r="28" spans="1:10">
      <c r="A28" t="s">
        <v>594</v>
      </c>
      <c r="B28" t="s">
        <v>46</v>
      </c>
      <c r="D28" s="58">
        <v>50</v>
      </c>
      <c r="E28" s="58">
        <v>52.04</v>
      </c>
      <c r="F28" s="58">
        <v>62</v>
      </c>
      <c r="G28" s="58">
        <v>5</v>
      </c>
      <c r="H28" s="58">
        <v>13</v>
      </c>
      <c r="I28" s="58">
        <v>13</v>
      </c>
      <c r="J28" s="12">
        <v>0</v>
      </c>
    </row>
    <row r="29" spans="1:10">
      <c r="A29" t="s">
        <v>595</v>
      </c>
      <c r="B29" t="s">
        <v>48</v>
      </c>
      <c r="D29" s="58">
        <v>300</v>
      </c>
      <c r="E29" s="58">
        <v>69.62</v>
      </c>
      <c r="F29" s="58">
        <v>0</v>
      </c>
      <c r="G29" s="58">
        <v>249</v>
      </c>
      <c r="H29" s="58">
        <v>210</v>
      </c>
      <c r="I29" s="58">
        <v>169</v>
      </c>
      <c r="J29" s="12">
        <v>0</v>
      </c>
    </row>
    <row r="30" spans="1:10">
      <c r="A30" t="s">
        <v>596</v>
      </c>
      <c r="B30" t="s">
        <v>50</v>
      </c>
      <c r="D30" s="58"/>
      <c r="E30" s="58"/>
      <c r="F30" s="58"/>
      <c r="G30" s="58"/>
      <c r="H30" s="58"/>
      <c r="I30" s="58"/>
      <c r="J30" s="12"/>
    </row>
    <row r="31" spans="1:10">
      <c r="A31" t="s">
        <v>597</v>
      </c>
      <c r="B31" t="s">
        <v>57</v>
      </c>
      <c r="D31" s="58">
        <v>750</v>
      </c>
      <c r="E31" s="58">
        <v>3331.3</v>
      </c>
      <c r="F31" s="58">
        <f>604+34</f>
        <v>638</v>
      </c>
      <c r="G31" s="58">
        <v>1241</v>
      </c>
      <c r="H31" s="58">
        <v>582</v>
      </c>
      <c r="I31" s="58">
        <v>1277</v>
      </c>
      <c r="J31" s="12">
        <v>124</v>
      </c>
    </row>
    <row r="32" spans="1:10">
      <c r="A32" t="s">
        <v>208</v>
      </c>
      <c r="D32" s="58"/>
      <c r="E32" s="58"/>
      <c r="F32" s="58"/>
      <c r="G32" s="58"/>
      <c r="H32" s="58"/>
      <c r="I32" s="58"/>
      <c r="J32" s="12"/>
    </row>
    <row r="33" spans="1:11">
      <c r="A33" t="s">
        <v>598</v>
      </c>
      <c r="B33" t="s">
        <v>210</v>
      </c>
      <c r="D33" s="58">
        <v>750</v>
      </c>
      <c r="E33" s="58">
        <v>571.79</v>
      </c>
      <c r="F33" s="58">
        <v>742</v>
      </c>
      <c r="G33" s="58">
        <v>500</v>
      </c>
      <c r="H33" s="58">
        <v>406</v>
      </c>
      <c r="I33" s="58">
        <v>418</v>
      </c>
      <c r="J33" s="12">
        <v>853</v>
      </c>
    </row>
    <row r="34" spans="1:11">
      <c r="A34" t="s">
        <v>599</v>
      </c>
      <c r="B34" t="s">
        <v>39</v>
      </c>
      <c r="D34" s="58">
        <v>750</v>
      </c>
      <c r="E34" s="58">
        <v>840.7</v>
      </c>
      <c r="F34" s="58">
        <v>482</v>
      </c>
      <c r="G34" s="58">
        <v>1347</v>
      </c>
      <c r="H34" s="58">
        <v>555</v>
      </c>
      <c r="I34" s="58">
        <v>902</v>
      </c>
      <c r="J34" s="12">
        <v>1031</v>
      </c>
    </row>
    <row r="35" spans="1:11">
      <c r="A35" t="s">
        <v>600</v>
      </c>
      <c r="B35" t="s">
        <v>42</v>
      </c>
      <c r="D35" s="58">
        <v>100</v>
      </c>
      <c r="E35" s="58">
        <v>409.71</v>
      </c>
      <c r="F35" s="58">
        <v>362</v>
      </c>
      <c r="G35" s="58">
        <v>0</v>
      </c>
      <c r="H35" s="58">
        <v>10</v>
      </c>
      <c r="I35" s="58">
        <v>86</v>
      </c>
      <c r="J35" s="12">
        <v>10</v>
      </c>
    </row>
    <row r="36" spans="1:11">
      <c r="A36" t="s">
        <v>601</v>
      </c>
      <c r="B36" t="s">
        <v>43</v>
      </c>
      <c r="D36" s="58">
        <v>1500</v>
      </c>
      <c r="E36" s="58">
        <v>1604.01</v>
      </c>
      <c r="F36" s="58">
        <v>1134</v>
      </c>
      <c r="G36" s="58">
        <v>2027</v>
      </c>
      <c r="H36" s="58">
        <v>1787</v>
      </c>
      <c r="I36" s="58">
        <v>11260</v>
      </c>
      <c r="J36" s="12">
        <v>5626</v>
      </c>
    </row>
    <row r="37" spans="1:11">
      <c r="A37" t="s">
        <v>28</v>
      </c>
      <c r="D37" s="58"/>
      <c r="E37" s="58"/>
      <c r="F37" s="58"/>
      <c r="G37" s="58"/>
      <c r="H37" s="58"/>
      <c r="I37" s="58"/>
      <c r="J37" s="12"/>
    </row>
    <row r="38" spans="1:11">
      <c r="A38" t="s">
        <v>602</v>
      </c>
      <c r="B38" t="s">
        <v>199</v>
      </c>
      <c r="D38" s="58">
        <v>750</v>
      </c>
      <c r="E38" s="58">
        <v>96.51</v>
      </c>
      <c r="F38" s="58">
        <v>10</v>
      </c>
      <c r="G38" s="58">
        <v>133</v>
      </c>
      <c r="H38" s="58">
        <v>0</v>
      </c>
      <c r="I38" s="58">
        <v>0</v>
      </c>
      <c r="J38" s="12">
        <v>527</v>
      </c>
    </row>
    <row r="39" spans="1:11">
      <c r="A39" t="s">
        <v>603</v>
      </c>
      <c r="B39" t="s">
        <v>202</v>
      </c>
      <c r="D39" s="58">
        <v>500</v>
      </c>
      <c r="E39" s="58">
        <v>0</v>
      </c>
      <c r="F39" s="58">
        <v>21</v>
      </c>
      <c r="G39" s="58">
        <v>0</v>
      </c>
      <c r="H39" s="58">
        <v>0</v>
      </c>
      <c r="I39" s="58">
        <v>1980</v>
      </c>
      <c r="J39" s="12">
        <v>440</v>
      </c>
    </row>
    <row r="40" spans="1:11">
      <c r="A40" t="s">
        <v>604</v>
      </c>
      <c r="B40" t="s">
        <v>205</v>
      </c>
      <c r="D40" s="58">
        <v>500</v>
      </c>
      <c r="E40" s="58">
        <v>205.73</v>
      </c>
      <c r="F40" s="58">
        <v>148</v>
      </c>
      <c r="G40" s="58">
        <v>210</v>
      </c>
      <c r="H40" s="58">
        <v>0</v>
      </c>
      <c r="I40" s="58">
        <v>0</v>
      </c>
      <c r="J40" s="12">
        <v>0</v>
      </c>
      <c r="K40" s="41"/>
    </row>
    <row r="41" spans="1:11">
      <c r="A41" t="s">
        <v>605</v>
      </c>
      <c r="B41" t="s">
        <v>207</v>
      </c>
      <c r="D41" s="58">
        <v>500</v>
      </c>
      <c r="E41" s="58">
        <v>22.6</v>
      </c>
      <c r="F41" s="58">
        <v>539</v>
      </c>
      <c r="G41" s="58">
        <v>889</v>
      </c>
      <c r="H41" s="58">
        <v>321</v>
      </c>
      <c r="I41" s="58">
        <v>147</v>
      </c>
      <c r="J41" s="12">
        <v>2525</v>
      </c>
    </row>
    <row r="42" spans="1:11">
      <c r="A42" t="s">
        <v>20</v>
      </c>
      <c r="D42" s="58"/>
      <c r="E42" s="58"/>
      <c r="F42" s="58"/>
      <c r="G42" s="58"/>
      <c r="H42" s="58"/>
      <c r="I42" s="58"/>
      <c r="J42" s="12"/>
    </row>
    <row r="43" spans="1:11">
      <c r="A43" t="s">
        <v>606</v>
      </c>
      <c r="B43" t="s">
        <v>21</v>
      </c>
      <c r="D43" s="58">
        <v>42000</v>
      </c>
      <c r="E43" s="58">
        <v>46259.47</v>
      </c>
      <c r="F43" s="58">
        <v>39842</v>
      </c>
      <c r="G43" s="58">
        <v>32769</v>
      </c>
      <c r="H43" s="58">
        <v>35060</v>
      </c>
      <c r="I43" s="58">
        <v>34677</v>
      </c>
      <c r="J43" s="12">
        <v>38224</v>
      </c>
    </row>
    <row r="44" spans="1:11">
      <c r="A44" t="s">
        <v>607</v>
      </c>
      <c r="B44" t="s">
        <v>22</v>
      </c>
      <c r="D44" s="58">
        <v>165000</v>
      </c>
      <c r="E44" s="58">
        <v>161321.17000000001</v>
      </c>
      <c r="F44" s="58">
        <v>163495</v>
      </c>
      <c r="G44" s="58">
        <v>163453</v>
      </c>
      <c r="H44" s="58">
        <v>150775</v>
      </c>
      <c r="I44" s="58">
        <v>144487</v>
      </c>
      <c r="J44" s="12">
        <v>143201</v>
      </c>
    </row>
    <row r="45" spans="1:11">
      <c r="A45" t="s">
        <v>608</v>
      </c>
      <c r="B45" t="s">
        <v>23</v>
      </c>
      <c r="D45" s="58">
        <v>10000</v>
      </c>
      <c r="E45" s="58">
        <v>9686.84</v>
      </c>
      <c r="F45" s="58">
        <v>9350</v>
      </c>
      <c r="G45" s="58">
        <v>9792</v>
      </c>
      <c r="H45" s="58">
        <v>6918</v>
      </c>
      <c r="I45" s="58">
        <v>7328</v>
      </c>
      <c r="J45" s="12">
        <v>6918</v>
      </c>
    </row>
    <row r="46" spans="1:11">
      <c r="A46" t="s">
        <v>609</v>
      </c>
      <c r="B46" t="s">
        <v>24</v>
      </c>
      <c r="D46" s="58">
        <v>10000</v>
      </c>
      <c r="E46" s="58">
        <v>6635.62</v>
      </c>
      <c r="F46" s="58">
        <v>6472</v>
      </c>
      <c r="G46" s="58">
        <v>8778</v>
      </c>
      <c r="H46" s="58">
        <v>8306</v>
      </c>
      <c r="I46" s="58">
        <v>9453</v>
      </c>
      <c r="J46" s="12">
        <v>9272</v>
      </c>
    </row>
    <row r="47" spans="1:11">
      <c r="A47" t="s">
        <v>610</v>
      </c>
      <c r="B47" t="s">
        <v>25</v>
      </c>
      <c r="D47" s="58">
        <v>2500</v>
      </c>
      <c r="E47" s="58">
        <v>4905</v>
      </c>
      <c r="F47" s="58">
        <v>3131</v>
      </c>
      <c r="G47" s="58">
        <v>1166</v>
      </c>
      <c r="H47" s="58">
        <v>2538</v>
      </c>
      <c r="I47" s="58">
        <v>1912</v>
      </c>
      <c r="J47" s="12">
        <v>3755</v>
      </c>
    </row>
    <row r="48" spans="1:11">
      <c r="A48" s="41" t="s">
        <v>1033</v>
      </c>
      <c r="B48" s="41" t="s">
        <v>1034</v>
      </c>
      <c r="D48" s="58">
        <v>0</v>
      </c>
      <c r="E48" s="58">
        <v>62.9</v>
      </c>
      <c r="F48" s="58">
        <v>0</v>
      </c>
      <c r="G48" s="58">
        <v>0</v>
      </c>
      <c r="H48" s="58">
        <v>0</v>
      </c>
      <c r="I48" s="58">
        <v>0</v>
      </c>
      <c r="J48" s="12">
        <v>0</v>
      </c>
    </row>
    <row r="49" spans="1:10">
      <c r="A49" t="s">
        <v>9</v>
      </c>
      <c r="D49" s="58"/>
      <c r="E49" s="58"/>
      <c r="F49" s="58"/>
      <c r="G49" s="58"/>
      <c r="H49" s="58"/>
      <c r="I49" s="58"/>
      <c r="J49" s="12"/>
    </row>
    <row r="50" spans="1:10">
      <c r="A50" t="s">
        <v>611</v>
      </c>
      <c r="B50" t="s">
        <v>11</v>
      </c>
      <c r="D50" s="58">
        <f>1932*102%</f>
        <v>1970.64</v>
      </c>
      <c r="E50" s="58">
        <v>1893</v>
      </c>
      <c r="F50" s="58">
        <v>1893</v>
      </c>
      <c r="G50" s="58">
        <v>2582</v>
      </c>
      <c r="H50" s="58">
        <v>2555</v>
      </c>
      <c r="I50" s="58">
        <v>2655</v>
      </c>
      <c r="J50" s="12">
        <v>2572</v>
      </c>
    </row>
    <row r="51" spans="1:10">
      <c r="A51" s="41" t="s">
        <v>1029</v>
      </c>
      <c r="B51" s="41" t="s">
        <v>1030</v>
      </c>
      <c r="D51" s="58">
        <v>0</v>
      </c>
      <c r="E51" s="58">
        <v>1992.82</v>
      </c>
      <c r="F51" s="58">
        <v>0</v>
      </c>
      <c r="G51" s="58">
        <v>0</v>
      </c>
      <c r="H51" s="58">
        <v>0</v>
      </c>
      <c r="I51" s="58">
        <v>0</v>
      </c>
      <c r="J51" s="12">
        <v>0</v>
      </c>
    </row>
    <row r="52" spans="1:10">
      <c r="A52" t="s">
        <v>919</v>
      </c>
      <c r="B52" t="s">
        <v>125</v>
      </c>
      <c r="D52" s="58">
        <v>0</v>
      </c>
      <c r="E52" s="58">
        <v>215.2</v>
      </c>
      <c r="F52" s="58">
        <f>1993+136</f>
        <v>2129</v>
      </c>
      <c r="G52" s="58">
        <v>30</v>
      </c>
      <c r="H52" s="58">
        <v>0</v>
      </c>
      <c r="I52" s="58">
        <v>0</v>
      </c>
      <c r="J52" s="12">
        <v>0</v>
      </c>
    </row>
    <row r="53" spans="1:10">
      <c r="A53" t="s">
        <v>668</v>
      </c>
      <c r="D53" s="58"/>
      <c r="E53" s="58"/>
      <c r="F53" s="58"/>
      <c r="G53" s="58"/>
      <c r="H53" s="58"/>
      <c r="I53" s="58"/>
      <c r="J53" s="12">
        <v>38</v>
      </c>
    </row>
    <row r="54" spans="1:10">
      <c r="A54" t="s">
        <v>612</v>
      </c>
      <c r="B54" t="s">
        <v>119</v>
      </c>
      <c r="D54" s="58">
        <v>1500</v>
      </c>
      <c r="E54" s="58">
        <v>1518.59</v>
      </c>
      <c r="F54" s="58">
        <v>1537</v>
      </c>
      <c r="G54" s="58">
        <v>1335</v>
      </c>
      <c r="H54" s="58">
        <v>1842</v>
      </c>
      <c r="I54" s="58">
        <v>1809</v>
      </c>
      <c r="J54" s="12">
        <v>1536</v>
      </c>
    </row>
    <row r="55" spans="1:10">
      <c r="A55" t="s">
        <v>193</v>
      </c>
      <c r="D55" s="58"/>
      <c r="E55" s="58"/>
      <c r="F55" s="58"/>
      <c r="G55" s="58"/>
      <c r="H55" s="58"/>
      <c r="I55" s="58"/>
      <c r="J55" s="12"/>
    </row>
    <row r="56" spans="1:10">
      <c r="A56" t="s">
        <v>789</v>
      </c>
      <c r="B56" t="s">
        <v>195</v>
      </c>
      <c r="D56" s="58">
        <v>0</v>
      </c>
      <c r="E56" s="58">
        <v>292.60000000000002</v>
      </c>
      <c r="F56" s="58">
        <v>121</v>
      </c>
      <c r="G56" s="58">
        <v>80</v>
      </c>
      <c r="H56" s="58">
        <v>0</v>
      </c>
      <c r="I56" s="58">
        <v>185</v>
      </c>
      <c r="J56" s="12">
        <v>0</v>
      </c>
    </row>
    <row r="57" spans="1:10">
      <c r="A57" t="s">
        <v>613</v>
      </c>
      <c r="B57" t="s">
        <v>64</v>
      </c>
      <c r="D57" s="58">
        <v>1500</v>
      </c>
      <c r="E57" s="58">
        <v>1579.77</v>
      </c>
      <c r="F57" s="58">
        <v>1575</v>
      </c>
      <c r="G57" s="58">
        <v>1391</v>
      </c>
      <c r="H57" s="58">
        <v>1101</v>
      </c>
      <c r="I57" s="58">
        <v>991</v>
      </c>
      <c r="J57" s="12">
        <v>760</v>
      </c>
    </row>
    <row r="58" spans="1:10">
      <c r="A58" t="s">
        <v>186</v>
      </c>
      <c r="D58" s="58"/>
      <c r="E58" s="58"/>
      <c r="F58" s="58"/>
      <c r="G58" s="58"/>
      <c r="H58" s="58"/>
      <c r="I58" s="58"/>
      <c r="J58" s="12"/>
    </row>
    <row r="59" spans="1:10">
      <c r="A59" t="s">
        <v>614</v>
      </c>
      <c r="B59" t="s">
        <v>189</v>
      </c>
      <c r="D59" s="58">
        <v>25</v>
      </c>
      <c r="E59" s="58">
        <v>64.400000000000006</v>
      </c>
      <c r="F59" s="58">
        <v>84</v>
      </c>
      <c r="G59" s="58">
        <v>0</v>
      </c>
      <c r="H59" s="58">
        <v>307</v>
      </c>
      <c r="I59" s="58">
        <v>0</v>
      </c>
      <c r="J59" s="12">
        <v>0</v>
      </c>
    </row>
    <row r="60" spans="1:10">
      <c r="A60" t="s">
        <v>615</v>
      </c>
      <c r="B60" t="s">
        <v>191</v>
      </c>
      <c r="D60" s="58">
        <v>35</v>
      </c>
      <c r="E60" s="58">
        <v>275.7</v>
      </c>
      <c r="F60" s="58">
        <v>167</v>
      </c>
      <c r="G60" s="58">
        <v>39</v>
      </c>
      <c r="H60" s="58">
        <v>0</v>
      </c>
      <c r="I60" s="58">
        <v>0</v>
      </c>
      <c r="J60" s="12">
        <v>0</v>
      </c>
    </row>
    <row r="61" spans="1:10">
      <c r="A61" t="s">
        <v>616</v>
      </c>
      <c r="B61" t="s">
        <v>192</v>
      </c>
      <c r="D61" s="58">
        <v>500</v>
      </c>
      <c r="E61" s="58">
        <v>110</v>
      </c>
      <c r="F61" s="58">
        <v>115</v>
      </c>
      <c r="G61" s="58">
        <v>66</v>
      </c>
      <c r="H61" s="58">
        <v>0</v>
      </c>
      <c r="I61" s="58">
        <v>53</v>
      </c>
      <c r="J61" s="12">
        <v>221</v>
      </c>
    </row>
    <row r="62" spans="1:10">
      <c r="A62" t="s">
        <v>180</v>
      </c>
      <c r="D62" s="58"/>
      <c r="E62" s="58"/>
      <c r="F62" s="58"/>
      <c r="G62" s="58"/>
      <c r="H62" s="58"/>
      <c r="I62" s="58"/>
      <c r="J62" s="12"/>
    </row>
    <row r="63" spans="1:10">
      <c r="A63" t="s">
        <v>617</v>
      </c>
      <c r="B63" t="s">
        <v>183</v>
      </c>
      <c r="D63" s="58">
        <v>150</v>
      </c>
      <c r="E63" s="58">
        <v>0</v>
      </c>
      <c r="F63" s="58">
        <v>120</v>
      </c>
      <c r="G63" s="58">
        <v>166</v>
      </c>
      <c r="H63" s="58">
        <v>0</v>
      </c>
      <c r="I63" s="58">
        <v>0</v>
      </c>
      <c r="J63" s="12">
        <v>54</v>
      </c>
    </row>
    <row r="64" spans="1:10">
      <c r="A64" t="s">
        <v>173</v>
      </c>
      <c r="D64" s="58"/>
      <c r="E64" s="58"/>
      <c r="F64" s="58"/>
      <c r="G64" s="58"/>
      <c r="H64" s="58"/>
      <c r="I64" s="58"/>
      <c r="J64" s="12"/>
    </row>
    <row r="65" spans="1:12">
      <c r="A65" t="s">
        <v>618</v>
      </c>
      <c r="B65" t="s">
        <v>115</v>
      </c>
      <c r="D65" s="57">
        <f>744*110%</f>
        <v>818.40000000000009</v>
      </c>
      <c r="E65" s="57">
        <v>744</v>
      </c>
      <c r="F65" s="57">
        <v>569</v>
      </c>
      <c r="G65" s="57">
        <v>740</v>
      </c>
      <c r="H65" s="58">
        <v>735</v>
      </c>
      <c r="I65" s="58">
        <v>1076</v>
      </c>
      <c r="J65" s="12">
        <v>747</v>
      </c>
    </row>
    <row r="66" spans="1:12">
      <c r="A66" t="s">
        <v>619</v>
      </c>
      <c r="B66" t="s">
        <v>176</v>
      </c>
      <c r="D66" s="57">
        <f>1624*107%</f>
        <v>1737.68</v>
      </c>
      <c r="E66" s="57">
        <v>1624</v>
      </c>
      <c r="F66" s="57">
        <v>1151</v>
      </c>
      <c r="G66" s="57">
        <v>1573</v>
      </c>
      <c r="H66" s="58">
        <v>1545</v>
      </c>
      <c r="I66" s="58">
        <v>1496</v>
      </c>
      <c r="J66" s="12">
        <v>1287</v>
      </c>
    </row>
    <row r="67" spans="1:12">
      <c r="A67" t="s">
        <v>620</v>
      </c>
      <c r="B67" t="s">
        <v>178</v>
      </c>
      <c r="D67" s="58">
        <f>3603*103%</f>
        <v>3711.09</v>
      </c>
      <c r="E67" s="58">
        <v>3503.51</v>
      </c>
      <c r="F67" s="58">
        <v>3603</v>
      </c>
      <c r="G67" s="58">
        <v>2321</v>
      </c>
      <c r="H67" s="58">
        <v>2396</v>
      </c>
      <c r="I67" s="58">
        <v>2319</v>
      </c>
      <c r="J67" s="12">
        <v>5202</v>
      </c>
    </row>
    <row r="68" spans="1:12">
      <c r="A68" t="s">
        <v>163</v>
      </c>
      <c r="D68" s="58"/>
      <c r="E68" s="58"/>
      <c r="F68" s="58"/>
      <c r="G68" s="58"/>
      <c r="H68" s="58"/>
      <c r="I68" s="58"/>
      <c r="J68" s="12"/>
    </row>
    <row r="69" spans="1:12">
      <c r="A69" t="s">
        <v>621</v>
      </c>
      <c r="B69" t="s">
        <v>164</v>
      </c>
      <c r="D69" s="57">
        <f>8443*109%</f>
        <v>9202.8700000000008</v>
      </c>
      <c r="E69" s="57">
        <v>10129.14</v>
      </c>
      <c r="F69" s="57">
        <v>8433</v>
      </c>
      <c r="G69" s="57">
        <v>8008</v>
      </c>
      <c r="H69" s="58">
        <v>7505</v>
      </c>
      <c r="I69" s="58">
        <v>6583</v>
      </c>
      <c r="J69" s="12">
        <v>7195</v>
      </c>
    </row>
    <row r="70" spans="1:12">
      <c r="A70" t="s">
        <v>622</v>
      </c>
      <c r="B70" t="s">
        <v>165</v>
      </c>
      <c r="D70" s="57">
        <f>250*115%</f>
        <v>287.5</v>
      </c>
      <c r="E70" s="57">
        <v>270.69</v>
      </c>
      <c r="F70" s="57">
        <v>210</v>
      </c>
      <c r="G70" s="57">
        <v>297</v>
      </c>
      <c r="H70" s="58">
        <v>234</v>
      </c>
      <c r="I70" s="58">
        <v>173</v>
      </c>
      <c r="J70" s="12">
        <v>126</v>
      </c>
    </row>
    <row r="71" spans="1:12">
      <c r="A71" t="s">
        <v>623</v>
      </c>
      <c r="B71" t="s">
        <v>166</v>
      </c>
      <c r="D71" s="58">
        <v>750</v>
      </c>
      <c r="E71" s="58">
        <v>337.93</v>
      </c>
      <c r="F71" s="58">
        <v>609</v>
      </c>
      <c r="G71" s="58">
        <v>565</v>
      </c>
      <c r="H71" s="58">
        <v>907</v>
      </c>
      <c r="I71" s="58">
        <v>850</v>
      </c>
      <c r="J71" s="12">
        <v>535</v>
      </c>
    </row>
    <row r="72" spans="1:12">
      <c r="A72" t="s">
        <v>624</v>
      </c>
      <c r="B72" t="s">
        <v>167</v>
      </c>
      <c r="D72" s="58">
        <v>1200</v>
      </c>
      <c r="E72" s="58">
        <v>1220.27</v>
      </c>
      <c r="F72" s="58">
        <v>1374</v>
      </c>
      <c r="G72" s="58">
        <v>963</v>
      </c>
      <c r="H72" s="58">
        <v>740</v>
      </c>
      <c r="I72" s="58">
        <v>815</v>
      </c>
      <c r="J72" s="12">
        <v>626</v>
      </c>
    </row>
    <row r="73" spans="1:12">
      <c r="A73" t="s">
        <v>625</v>
      </c>
      <c r="B73" t="s">
        <v>168</v>
      </c>
      <c r="D73" s="57">
        <f>252*115%</f>
        <v>289.79999999999995</v>
      </c>
      <c r="E73" s="57">
        <v>316.60000000000002</v>
      </c>
      <c r="F73" s="57">
        <v>252</v>
      </c>
      <c r="G73" s="57">
        <v>339</v>
      </c>
      <c r="H73" s="58">
        <v>272</v>
      </c>
      <c r="I73" s="58">
        <v>177</v>
      </c>
      <c r="J73" s="12">
        <v>186</v>
      </c>
    </row>
    <row r="74" spans="1:12">
      <c r="A74" s="41" t="s">
        <v>1027</v>
      </c>
      <c r="D74" s="57"/>
      <c r="E74" s="57"/>
      <c r="F74" s="57"/>
      <c r="G74" s="57"/>
      <c r="H74" s="58"/>
      <c r="I74" s="58"/>
      <c r="J74" s="12"/>
    </row>
    <row r="75" spans="1:12">
      <c r="A75" s="41" t="s">
        <v>1025</v>
      </c>
      <c r="B75" s="41" t="s">
        <v>1026</v>
      </c>
      <c r="D75" s="57">
        <v>0</v>
      </c>
      <c r="E75" s="57">
        <v>352.3</v>
      </c>
      <c r="F75" s="57">
        <v>0</v>
      </c>
      <c r="G75" s="57">
        <v>0</v>
      </c>
      <c r="H75" s="58">
        <v>0</v>
      </c>
      <c r="I75" s="58">
        <v>0</v>
      </c>
      <c r="J75" s="12">
        <v>0</v>
      </c>
    </row>
    <row r="76" spans="1:12">
      <c r="A76" t="s">
        <v>665</v>
      </c>
      <c r="D76" s="58"/>
      <c r="E76" s="58"/>
      <c r="F76" s="58"/>
      <c r="G76" s="58"/>
      <c r="H76" s="58"/>
      <c r="I76" s="58"/>
      <c r="J76" s="12"/>
    </row>
    <row r="77" spans="1:12">
      <c r="A77" t="s">
        <v>669</v>
      </c>
      <c r="B77" t="s">
        <v>670</v>
      </c>
      <c r="D77" s="58">
        <v>1000</v>
      </c>
      <c r="E77" s="58">
        <v>122.27</v>
      </c>
      <c r="F77" s="58">
        <v>0</v>
      </c>
      <c r="G77" s="58">
        <v>0</v>
      </c>
      <c r="H77" s="58">
        <v>0</v>
      </c>
      <c r="I77" s="58">
        <v>0</v>
      </c>
      <c r="J77" s="12">
        <v>0</v>
      </c>
    </row>
    <row r="78" spans="1:12">
      <c r="A78" t="s">
        <v>671</v>
      </c>
      <c r="B78" t="s">
        <v>672</v>
      </c>
      <c r="D78" s="58">
        <v>1000</v>
      </c>
      <c r="E78" s="58">
        <v>736.5</v>
      </c>
      <c r="F78" s="58">
        <f>3870+53+428+2119</f>
        <v>6470</v>
      </c>
      <c r="G78" s="58">
        <v>755</v>
      </c>
      <c r="H78" s="58">
        <v>0</v>
      </c>
      <c r="I78" s="58">
        <v>2528</v>
      </c>
      <c r="J78" s="12">
        <v>52768</v>
      </c>
      <c r="K78" s="12"/>
      <c r="L78" s="19"/>
    </row>
    <row r="79" spans="1:12">
      <c r="A79" t="s">
        <v>157</v>
      </c>
      <c r="D79" s="58"/>
      <c r="E79" s="58"/>
      <c r="F79" s="58"/>
      <c r="G79" s="58"/>
      <c r="H79" s="58"/>
      <c r="I79" s="58"/>
      <c r="J79" s="12"/>
    </row>
    <row r="80" spans="1:12">
      <c r="A80" t="s">
        <v>626</v>
      </c>
      <c r="B80" t="s">
        <v>158</v>
      </c>
      <c r="D80" s="58">
        <v>1000</v>
      </c>
      <c r="E80" s="58">
        <v>5797.85</v>
      </c>
      <c r="F80" s="58">
        <f>3646+387</f>
        <v>4033</v>
      </c>
      <c r="G80" s="58">
        <v>401</v>
      </c>
      <c r="H80" s="58">
        <v>902</v>
      </c>
      <c r="I80" s="58">
        <v>5787</v>
      </c>
      <c r="J80" s="12">
        <v>0</v>
      </c>
    </row>
    <row r="81" spans="1:11">
      <c r="A81" s="41" t="s">
        <v>1024</v>
      </c>
      <c r="B81" s="41" t="s">
        <v>672</v>
      </c>
      <c r="D81" s="58">
        <v>0</v>
      </c>
      <c r="E81" s="58">
        <v>328.88</v>
      </c>
      <c r="F81" s="58">
        <v>0</v>
      </c>
      <c r="G81" s="58">
        <v>0</v>
      </c>
      <c r="H81" s="58">
        <v>0</v>
      </c>
      <c r="I81" s="58">
        <v>0</v>
      </c>
      <c r="J81" s="12">
        <v>0</v>
      </c>
    </row>
    <row r="82" spans="1:11">
      <c r="A82" s="41" t="s">
        <v>1028</v>
      </c>
      <c r="B82" s="41" t="s">
        <v>153</v>
      </c>
      <c r="D82" s="58">
        <v>0</v>
      </c>
      <c r="E82" s="58">
        <v>79.13</v>
      </c>
      <c r="F82" s="58">
        <v>0</v>
      </c>
      <c r="G82" s="58">
        <v>0</v>
      </c>
      <c r="H82" s="58">
        <v>0</v>
      </c>
      <c r="I82" s="58">
        <v>0</v>
      </c>
      <c r="J82" s="12">
        <v>0</v>
      </c>
    </row>
    <row r="83" spans="1:11">
      <c r="A83" t="s">
        <v>627</v>
      </c>
      <c r="B83" t="s">
        <v>124</v>
      </c>
      <c r="D83" s="58">
        <v>2100</v>
      </c>
      <c r="E83" s="58">
        <v>3368.21</v>
      </c>
      <c r="F83" s="58">
        <v>2980</v>
      </c>
      <c r="G83" s="58">
        <v>5006</v>
      </c>
      <c r="H83" s="58">
        <v>4249</v>
      </c>
      <c r="I83" s="58">
        <v>3026</v>
      </c>
      <c r="J83" s="12">
        <v>1241</v>
      </c>
    </row>
    <row r="84" spans="1:11">
      <c r="A84" t="s">
        <v>628</v>
      </c>
      <c r="B84" t="s">
        <v>122</v>
      </c>
      <c r="D84" s="58">
        <v>500</v>
      </c>
      <c r="E84" s="58">
        <v>120</v>
      </c>
      <c r="F84" s="58">
        <v>0</v>
      </c>
      <c r="G84" s="58">
        <v>240</v>
      </c>
      <c r="H84" s="58">
        <v>280</v>
      </c>
      <c r="I84" s="58">
        <v>577</v>
      </c>
      <c r="J84" s="12">
        <v>647</v>
      </c>
    </row>
    <row r="85" spans="1:11">
      <c r="A85" t="s">
        <v>629</v>
      </c>
      <c r="B85" t="s">
        <v>142</v>
      </c>
      <c r="D85" s="58">
        <v>750</v>
      </c>
      <c r="E85" s="58">
        <v>745.27</v>
      </c>
      <c r="F85" s="58">
        <v>321</v>
      </c>
      <c r="G85" s="58">
        <v>638</v>
      </c>
      <c r="H85" s="58">
        <v>250</v>
      </c>
      <c r="I85" s="58">
        <v>112</v>
      </c>
      <c r="J85" s="12">
        <v>1352</v>
      </c>
    </row>
    <row r="86" spans="1:11">
      <c r="D86" s="58"/>
      <c r="E86" s="58"/>
      <c r="F86" s="58"/>
      <c r="G86" s="58"/>
      <c r="H86" s="58"/>
      <c r="I86" s="58"/>
      <c r="J86" s="12"/>
      <c r="K86" s="41"/>
    </row>
    <row r="87" spans="1:11">
      <c r="B87" s="38" t="s">
        <v>77</v>
      </c>
      <c r="D87" s="57">
        <f t="shared" ref="D87" si="0">SUM(D14:D85)</f>
        <v>365287.13086000003</v>
      </c>
      <c r="E87" s="57">
        <f t="shared" ref="E87:J87" si="1">SUM(E14:E85)</f>
        <v>358497.76000000018</v>
      </c>
      <c r="F87" s="57">
        <f t="shared" si="1"/>
        <v>354657</v>
      </c>
      <c r="G87" s="57">
        <f t="shared" si="1"/>
        <v>346376</v>
      </c>
      <c r="H87" s="60">
        <f t="shared" si="1"/>
        <v>354656</v>
      </c>
      <c r="I87" s="57">
        <f t="shared" si="1"/>
        <v>363947</v>
      </c>
      <c r="J87" s="12">
        <f t="shared" si="1"/>
        <v>407624</v>
      </c>
    </row>
    <row r="88" spans="1:11">
      <c r="A88" s="19"/>
    </row>
    <row r="89" spans="1:11">
      <c r="J89" s="27"/>
    </row>
  </sheetData>
  <phoneticPr fontId="2" type="noConversion"/>
  <pageMargins left="0.25" right="0.25" top="0.75" bottom="0.75" header="0.3" footer="0.3"/>
  <pageSetup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dimension ref="A1:L61"/>
  <sheetViews>
    <sheetView workbookViewId="0">
      <selection activeCell="D1" sqref="D1"/>
    </sheetView>
  </sheetViews>
  <sheetFormatPr defaultRowHeight="12.75"/>
  <cols>
    <col min="1" max="1" width="18.28515625" customWidth="1"/>
    <col min="2" max="2" width="27.5703125" customWidth="1"/>
    <col min="3" max="3" width="5.7109375" customWidth="1"/>
    <col min="4" max="4" width="11.7109375" customWidth="1"/>
    <col min="5" max="10" width="10.7109375" customWidth="1"/>
  </cols>
  <sheetData>
    <row r="1" spans="1:10" ht="15.75">
      <c r="B1" s="20" t="s">
        <v>6</v>
      </c>
      <c r="D1" s="21">
        <v>2013</v>
      </c>
      <c r="E1" s="109">
        <v>2012</v>
      </c>
      <c r="F1" s="74">
        <v>2011</v>
      </c>
      <c r="G1" s="24">
        <v>2010</v>
      </c>
      <c r="H1" s="74">
        <v>2009</v>
      </c>
      <c r="I1" s="24">
        <v>2008</v>
      </c>
      <c r="J1" s="24">
        <v>2007</v>
      </c>
    </row>
    <row r="2" spans="1:10">
      <c r="D2" s="24" t="s">
        <v>676</v>
      </c>
      <c r="E2" s="74" t="s">
        <v>677</v>
      </c>
      <c r="F2" s="74" t="s">
        <v>677</v>
      </c>
      <c r="G2" s="74" t="s">
        <v>677</v>
      </c>
      <c r="H2" s="74" t="s">
        <v>677</v>
      </c>
      <c r="I2" s="25" t="s">
        <v>677</v>
      </c>
      <c r="J2" s="25" t="s">
        <v>677</v>
      </c>
    </row>
    <row r="3" spans="1:10">
      <c r="A3" t="s">
        <v>106</v>
      </c>
      <c r="G3" s="49"/>
      <c r="H3" s="66"/>
      <c r="I3" s="69"/>
      <c r="J3" s="25"/>
    </row>
    <row r="4" spans="1:10">
      <c r="A4" t="s">
        <v>53</v>
      </c>
      <c r="B4" t="s">
        <v>54</v>
      </c>
      <c r="D4" s="57">
        <v>6000</v>
      </c>
      <c r="E4" s="57">
        <v>4391.38</v>
      </c>
      <c r="F4" s="57">
        <v>4959</v>
      </c>
      <c r="G4" s="57">
        <v>4304</v>
      </c>
      <c r="H4" s="58">
        <v>8348</v>
      </c>
      <c r="I4" s="58">
        <v>7756</v>
      </c>
      <c r="J4" s="12">
        <v>5540</v>
      </c>
    </row>
    <row r="5" spans="1:10">
      <c r="A5" s="19" t="s">
        <v>784</v>
      </c>
      <c r="B5" s="19" t="s">
        <v>785</v>
      </c>
      <c r="D5" s="58">
        <v>0</v>
      </c>
      <c r="E5" s="58">
        <v>150</v>
      </c>
      <c r="F5" s="58">
        <v>2500</v>
      </c>
      <c r="G5" s="58">
        <v>300</v>
      </c>
      <c r="H5" s="58">
        <v>50</v>
      </c>
      <c r="I5" s="58">
        <v>3435</v>
      </c>
      <c r="J5" s="12">
        <v>0</v>
      </c>
    </row>
    <row r="6" spans="1:10">
      <c r="B6" t="s">
        <v>260</v>
      </c>
      <c r="D6" s="87">
        <f>D59-6000</f>
        <v>33535.820000000007</v>
      </c>
      <c r="E6" s="87">
        <f>E59-6000</f>
        <v>23121.459999999995</v>
      </c>
      <c r="F6" s="87">
        <v>30235</v>
      </c>
      <c r="G6" s="87">
        <v>27019</v>
      </c>
      <c r="H6" s="87">
        <f>H59-(H4+H5)</f>
        <v>17785.88</v>
      </c>
      <c r="I6" s="87">
        <v>11207</v>
      </c>
      <c r="J6" s="86">
        <v>17170</v>
      </c>
    </row>
    <row r="7" spans="1:10">
      <c r="D7" s="58"/>
      <c r="E7" s="58"/>
      <c r="F7" s="58"/>
      <c r="G7" s="58"/>
      <c r="H7" s="58"/>
      <c r="I7" s="58"/>
      <c r="J7" s="12"/>
    </row>
    <row r="8" spans="1:10">
      <c r="B8" s="38" t="s">
        <v>77</v>
      </c>
      <c r="D8" s="57">
        <f>D4+D6</f>
        <v>39535.820000000007</v>
      </c>
      <c r="E8" s="57">
        <f>E4+E6</f>
        <v>27512.839999999997</v>
      </c>
      <c r="F8" s="57">
        <f>F4+F6</f>
        <v>35194</v>
      </c>
      <c r="G8" s="57">
        <f>G4+G6</f>
        <v>31323</v>
      </c>
      <c r="H8" s="58">
        <f>H4+H5+H6</f>
        <v>26183.88</v>
      </c>
      <c r="I8" s="57">
        <f>SUM(I4:I7)</f>
        <v>22398</v>
      </c>
      <c r="J8" s="12">
        <f>SUM(J4:J6)</f>
        <v>22710</v>
      </c>
    </row>
    <row r="9" spans="1:10">
      <c r="A9" t="s">
        <v>108</v>
      </c>
      <c r="D9" s="58"/>
      <c r="E9" s="58"/>
      <c r="F9" s="58"/>
      <c r="G9" s="58"/>
      <c r="H9" s="58"/>
      <c r="I9" s="58"/>
      <c r="J9" s="12"/>
    </row>
    <row r="10" spans="1:10">
      <c r="A10" t="s">
        <v>253</v>
      </c>
      <c r="D10" s="58"/>
      <c r="E10" s="58"/>
      <c r="F10" s="58"/>
      <c r="G10" s="58"/>
      <c r="H10" s="58"/>
      <c r="I10" s="49"/>
      <c r="J10" s="31"/>
    </row>
    <row r="11" spans="1:10">
      <c r="A11" t="s">
        <v>61</v>
      </c>
      <c r="B11" t="s">
        <v>63</v>
      </c>
      <c r="D11" s="58">
        <v>0</v>
      </c>
      <c r="E11" s="58">
        <v>240</v>
      </c>
      <c r="F11" s="58">
        <v>240</v>
      </c>
      <c r="G11" s="58">
        <v>240</v>
      </c>
      <c r="H11" s="58">
        <v>240</v>
      </c>
      <c r="I11" s="58">
        <v>1414</v>
      </c>
      <c r="J11" s="12">
        <v>3753.67</v>
      </c>
    </row>
    <row r="12" spans="1:10">
      <c r="A12" t="s">
        <v>249</v>
      </c>
      <c r="D12" s="58"/>
      <c r="E12" s="58"/>
      <c r="F12" s="58"/>
      <c r="G12" s="58"/>
      <c r="H12" s="58"/>
      <c r="I12" s="58"/>
      <c r="J12" s="12"/>
    </row>
    <row r="13" spans="1:10">
      <c r="A13" t="s">
        <v>235</v>
      </c>
      <c r="B13" t="s">
        <v>111</v>
      </c>
      <c r="D13" s="58">
        <v>0</v>
      </c>
      <c r="E13" s="58">
        <v>14.88</v>
      </c>
      <c r="F13" s="58">
        <v>15</v>
      </c>
      <c r="G13" s="58">
        <v>15</v>
      </c>
      <c r="H13" s="58">
        <f>0.062*H11</f>
        <v>14.879999999999999</v>
      </c>
      <c r="I13" s="58">
        <v>88</v>
      </c>
      <c r="J13" s="12">
        <v>232.74</v>
      </c>
    </row>
    <row r="14" spans="1:10">
      <c r="A14" t="s">
        <v>236</v>
      </c>
      <c r="B14" t="s">
        <v>113</v>
      </c>
      <c r="D14" s="58">
        <v>0</v>
      </c>
      <c r="E14" s="58">
        <v>3.48</v>
      </c>
      <c r="F14" s="58">
        <v>0</v>
      </c>
      <c r="G14" s="58">
        <v>4</v>
      </c>
      <c r="H14" s="58">
        <v>4</v>
      </c>
      <c r="I14" s="58">
        <v>21</v>
      </c>
      <c r="J14" s="12">
        <v>54.45</v>
      </c>
    </row>
    <row r="15" spans="1:10">
      <c r="A15" s="19" t="s">
        <v>759</v>
      </c>
      <c r="D15" s="58"/>
      <c r="E15" s="58"/>
      <c r="F15" s="58"/>
      <c r="G15" s="58"/>
      <c r="H15" s="58"/>
      <c r="I15" s="58"/>
      <c r="J15" s="12"/>
    </row>
    <row r="16" spans="1:10">
      <c r="A16" s="19" t="s">
        <v>754</v>
      </c>
      <c r="B16" s="19" t="s">
        <v>243</v>
      </c>
      <c r="D16" s="58">
        <v>0</v>
      </c>
      <c r="E16" s="58">
        <v>0</v>
      </c>
      <c r="F16" s="58">
        <v>164</v>
      </c>
      <c r="G16" s="58">
        <v>0</v>
      </c>
      <c r="H16" s="58">
        <v>0</v>
      </c>
      <c r="I16" s="58">
        <v>298</v>
      </c>
      <c r="J16" s="12">
        <v>0</v>
      </c>
    </row>
    <row r="17" spans="1:10">
      <c r="A17" s="19" t="s">
        <v>44</v>
      </c>
      <c r="D17" s="58"/>
      <c r="E17" s="58"/>
      <c r="F17" s="58"/>
      <c r="G17" s="58"/>
      <c r="H17" s="58"/>
      <c r="I17" s="58"/>
      <c r="J17" s="12"/>
    </row>
    <row r="18" spans="1:10">
      <c r="A18" s="19" t="s">
        <v>758</v>
      </c>
      <c r="B18" s="19" t="s">
        <v>752</v>
      </c>
      <c r="D18" s="58">
        <v>0</v>
      </c>
      <c r="E18" s="58">
        <v>0</v>
      </c>
      <c r="F18" s="58">
        <v>27</v>
      </c>
      <c r="G18" s="58">
        <v>0</v>
      </c>
      <c r="H18" s="58">
        <v>0</v>
      </c>
      <c r="I18" s="58">
        <v>100</v>
      </c>
      <c r="J18" s="12">
        <v>0</v>
      </c>
    </row>
    <row r="19" spans="1:10">
      <c r="A19" t="s">
        <v>208</v>
      </c>
      <c r="D19" s="58"/>
      <c r="E19" s="58"/>
      <c r="F19" s="58"/>
      <c r="G19" s="58"/>
      <c r="H19" s="58"/>
      <c r="I19" s="58"/>
      <c r="J19" s="12"/>
    </row>
    <row r="20" spans="1:10">
      <c r="A20" t="s">
        <v>237</v>
      </c>
      <c r="B20" t="s">
        <v>210</v>
      </c>
      <c r="D20" s="58">
        <v>4100</v>
      </c>
      <c r="E20" s="58">
        <v>3678.13</v>
      </c>
      <c r="F20" s="58">
        <v>3606</v>
      </c>
      <c r="G20" s="58">
        <v>3823</v>
      </c>
      <c r="H20" s="58">
        <v>4339</v>
      </c>
      <c r="I20" s="58">
        <v>3464</v>
      </c>
      <c r="J20" s="12">
        <v>2522.34</v>
      </c>
    </row>
    <row r="21" spans="1:10">
      <c r="A21" t="s">
        <v>88</v>
      </c>
      <c r="B21" t="s">
        <v>43</v>
      </c>
      <c r="D21" s="58">
        <v>500</v>
      </c>
      <c r="E21" s="58">
        <v>65.569999999999993</v>
      </c>
      <c r="F21" s="58">
        <v>34</v>
      </c>
      <c r="G21" s="58">
        <v>153</v>
      </c>
      <c r="H21" s="58">
        <v>417</v>
      </c>
      <c r="I21" s="58">
        <v>128</v>
      </c>
      <c r="J21" s="12">
        <v>1082.51</v>
      </c>
    </row>
    <row r="22" spans="1:10">
      <c r="A22" t="s">
        <v>28</v>
      </c>
      <c r="D22" s="58"/>
      <c r="E22" s="58"/>
      <c r="F22" s="58"/>
      <c r="G22" s="58"/>
      <c r="H22" s="58"/>
      <c r="I22" s="58"/>
      <c r="J22" s="12"/>
    </row>
    <row r="23" spans="1:10">
      <c r="A23" t="s">
        <v>89</v>
      </c>
      <c r="B23" t="s">
        <v>199</v>
      </c>
      <c r="D23" s="58">
        <v>500</v>
      </c>
      <c r="E23" s="58">
        <v>190.99</v>
      </c>
      <c r="F23" s="58">
        <v>50</v>
      </c>
      <c r="G23" s="58">
        <v>2118</v>
      </c>
      <c r="H23" s="58">
        <v>500</v>
      </c>
      <c r="I23" s="58">
        <v>61</v>
      </c>
      <c r="J23" s="12">
        <v>92</v>
      </c>
    </row>
    <row r="24" spans="1:10">
      <c r="A24" s="19" t="s">
        <v>755</v>
      </c>
      <c r="B24" s="19" t="s">
        <v>756</v>
      </c>
      <c r="D24" s="58">
        <v>0</v>
      </c>
      <c r="E24" s="58">
        <v>0</v>
      </c>
      <c r="F24" s="58">
        <v>0</v>
      </c>
      <c r="G24" s="58">
        <v>0</v>
      </c>
      <c r="H24" s="58">
        <v>12</v>
      </c>
      <c r="I24" s="58">
        <v>130</v>
      </c>
      <c r="J24" s="12">
        <v>374</v>
      </c>
    </row>
    <row r="25" spans="1:10">
      <c r="A25" s="41" t="s">
        <v>949</v>
      </c>
      <c r="B25" s="41" t="s">
        <v>733</v>
      </c>
      <c r="D25" s="58">
        <v>0</v>
      </c>
      <c r="E25" s="58">
        <v>0</v>
      </c>
      <c r="F25" s="58">
        <v>2755</v>
      </c>
      <c r="G25" s="58">
        <v>0</v>
      </c>
      <c r="H25" s="58">
        <v>0</v>
      </c>
      <c r="I25" s="58">
        <v>0</v>
      </c>
      <c r="J25" s="12">
        <v>0</v>
      </c>
    </row>
    <row r="26" spans="1:10">
      <c r="A26" t="s">
        <v>90</v>
      </c>
      <c r="B26" t="s">
        <v>206</v>
      </c>
      <c r="D26" s="60">
        <v>1500</v>
      </c>
      <c r="E26" s="60">
        <v>0</v>
      </c>
      <c r="F26" s="60">
        <v>0</v>
      </c>
      <c r="G26" s="60">
        <v>0</v>
      </c>
      <c r="H26" s="60">
        <v>1448</v>
      </c>
      <c r="I26" s="58">
        <v>0</v>
      </c>
      <c r="J26" s="12">
        <v>0</v>
      </c>
    </row>
    <row r="27" spans="1:10">
      <c r="A27" s="41" t="s">
        <v>892</v>
      </c>
      <c r="B27" s="41" t="s">
        <v>893</v>
      </c>
      <c r="D27" s="60">
        <v>0</v>
      </c>
      <c r="E27" s="60">
        <v>44.66</v>
      </c>
      <c r="F27" s="60">
        <v>393</v>
      </c>
      <c r="G27" s="60">
        <v>325</v>
      </c>
      <c r="H27" s="60">
        <v>9</v>
      </c>
      <c r="I27" s="58">
        <v>0</v>
      </c>
      <c r="J27" s="12">
        <v>0</v>
      </c>
    </row>
    <row r="28" spans="1:10">
      <c r="A28" t="s">
        <v>20</v>
      </c>
      <c r="D28" s="58"/>
      <c r="E28" s="58"/>
      <c r="F28" s="58"/>
      <c r="G28" s="58"/>
      <c r="H28" s="58"/>
      <c r="I28" s="58"/>
      <c r="J28" s="12"/>
    </row>
    <row r="29" spans="1:10">
      <c r="A29" t="s">
        <v>91</v>
      </c>
      <c r="B29" t="s">
        <v>27</v>
      </c>
      <c r="D29" s="58">
        <v>0</v>
      </c>
      <c r="E29" s="58">
        <v>0</v>
      </c>
      <c r="F29" s="58">
        <v>0</v>
      </c>
      <c r="G29" s="58">
        <v>0</v>
      </c>
      <c r="H29" s="58">
        <v>0</v>
      </c>
      <c r="I29" s="58">
        <v>0</v>
      </c>
      <c r="J29" s="12">
        <v>0</v>
      </c>
    </row>
    <row r="30" spans="1:10">
      <c r="A30" t="s">
        <v>9</v>
      </c>
      <c r="D30" s="58"/>
      <c r="E30" s="58"/>
      <c r="F30" s="58"/>
      <c r="G30" s="58"/>
      <c r="H30" s="58"/>
      <c r="I30" s="58"/>
      <c r="J30" s="12"/>
    </row>
    <row r="31" spans="1:10">
      <c r="A31" t="s">
        <v>92</v>
      </c>
      <c r="B31" t="s">
        <v>125</v>
      </c>
      <c r="D31" s="57">
        <v>3000</v>
      </c>
      <c r="E31" s="57">
        <v>2534.11</v>
      </c>
      <c r="F31" s="57">
        <v>3507</v>
      </c>
      <c r="G31" s="57">
        <v>2567</v>
      </c>
      <c r="H31" s="58">
        <v>180</v>
      </c>
      <c r="I31" s="58">
        <v>201</v>
      </c>
      <c r="J31" s="12">
        <v>634</v>
      </c>
    </row>
    <row r="32" spans="1:10">
      <c r="A32" t="s">
        <v>8</v>
      </c>
      <c r="D32" s="58"/>
      <c r="E32" s="58"/>
      <c r="F32" s="58"/>
      <c r="G32" s="58"/>
      <c r="H32" s="58"/>
      <c r="I32" s="58"/>
      <c r="J32" s="12"/>
    </row>
    <row r="33" spans="1:12">
      <c r="A33" s="19" t="s">
        <v>757</v>
      </c>
      <c r="B33" t="s">
        <v>119</v>
      </c>
      <c r="D33" s="58">
        <v>425</v>
      </c>
      <c r="E33" s="58">
        <v>281.01</v>
      </c>
      <c r="F33" s="58">
        <f>332+46</f>
        <v>378</v>
      </c>
      <c r="G33" s="58">
        <v>331</v>
      </c>
      <c r="H33" s="58">
        <v>329</v>
      </c>
      <c r="I33" s="58">
        <v>326</v>
      </c>
      <c r="J33" s="12">
        <v>409</v>
      </c>
    </row>
    <row r="34" spans="1:12">
      <c r="A34" t="s">
        <v>186</v>
      </c>
      <c r="D34" s="58"/>
      <c r="E34" s="58"/>
      <c r="F34" s="58"/>
      <c r="G34" s="58"/>
      <c r="H34" s="58"/>
      <c r="I34" s="58"/>
      <c r="J34" s="12"/>
    </row>
    <row r="35" spans="1:12">
      <c r="A35" t="s">
        <v>93</v>
      </c>
      <c r="B35" t="s">
        <v>191</v>
      </c>
      <c r="D35" s="58">
        <v>300</v>
      </c>
      <c r="E35" s="58">
        <v>185</v>
      </c>
      <c r="F35" s="58">
        <v>253</v>
      </c>
      <c r="G35" s="58">
        <v>189</v>
      </c>
      <c r="H35" s="58">
        <v>132</v>
      </c>
      <c r="I35" s="58">
        <v>265</v>
      </c>
      <c r="J35" s="12">
        <v>0</v>
      </c>
    </row>
    <row r="36" spans="1:12">
      <c r="A36" t="s">
        <v>173</v>
      </c>
      <c r="D36" s="58"/>
      <c r="E36" s="58"/>
      <c r="F36" s="58"/>
      <c r="G36" s="58"/>
      <c r="H36" s="58"/>
      <c r="I36" s="58"/>
      <c r="J36" s="12"/>
    </row>
    <row r="37" spans="1:12">
      <c r="A37" t="s">
        <v>94</v>
      </c>
      <c r="B37" t="s">
        <v>115</v>
      </c>
      <c r="D37" s="57">
        <f>661*110%</f>
        <v>727.1</v>
      </c>
      <c r="E37" s="57">
        <v>661</v>
      </c>
      <c r="F37" s="57">
        <v>506</v>
      </c>
      <c r="G37" s="57">
        <v>658</v>
      </c>
      <c r="H37" s="58">
        <v>923</v>
      </c>
      <c r="I37" s="58">
        <v>618</v>
      </c>
      <c r="J37" s="12">
        <v>645</v>
      </c>
    </row>
    <row r="38" spans="1:12">
      <c r="A38" t="s">
        <v>95</v>
      </c>
      <c r="B38" t="s">
        <v>176</v>
      </c>
      <c r="D38" s="57">
        <f>3063*107%</f>
        <v>3277.4100000000003</v>
      </c>
      <c r="E38" s="57">
        <v>3063</v>
      </c>
      <c r="F38" s="57">
        <v>2165</v>
      </c>
      <c r="G38" s="57">
        <v>2943</v>
      </c>
      <c r="H38" s="58">
        <v>2899</v>
      </c>
      <c r="I38" s="58">
        <v>2805</v>
      </c>
      <c r="J38" s="12">
        <v>2662</v>
      </c>
    </row>
    <row r="39" spans="1:12">
      <c r="A39" t="s">
        <v>163</v>
      </c>
      <c r="D39" s="58"/>
      <c r="E39" s="58"/>
      <c r="F39" s="58"/>
      <c r="G39" s="58"/>
      <c r="H39" s="58"/>
      <c r="I39" s="58"/>
      <c r="J39" s="12"/>
    </row>
    <row r="40" spans="1:12">
      <c r="A40" t="s">
        <v>96</v>
      </c>
      <c r="B40" t="s">
        <v>164</v>
      </c>
      <c r="D40" s="58">
        <f>4571*109%</f>
        <v>4982.3900000000003</v>
      </c>
      <c r="E40" s="58">
        <v>5452.23</v>
      </c>
      <c r="F40" s="58">
        <v>4571</v>
      </c>
      <c r="G40" s="58">
        <v>4419</v>
      </c>
      <c r="H40" s="58">
        <v>4112</v>
      </c>
      <c r="I40" s="58">
        <v>4169</v>
      </c>
      <c r="J40" s="12">
        <v>4794</v>
      </c>
    </row>
    <row r="41" spans="1:12">
      <c r="A41" t="s">
        <v>97</v>
      </c>
      <c r="B41" t="s">
        <v>165</v>
      </c>
      <c r="D41" s="57">
        <f>302*111%</f>
        <v>335.22</v>
      </c>
      <c r="E41" s="57">
        <v>385.85</v>
      </c>
      <c r="F41" s="57">
        <v>302</v>
      </c>
      <c r="G41" s="57">
        <v>345</v>
      </c>
      <c r="H41" s="58">
        <v>267</v>
      </c>
      <c r="I41" s="58">
        <v>197</v>
      </c>
      <c r="J41" s="12">
        <v>146</v>
      </c>
      <c r="L41" s="41"/>
    </row>
    <row r="42" spans="1:12">
      <c r="A42" t="s">
        <v>98</v>
      </c>
      <c r="B42" t="s">
        <v>166</v>
      </c>
      <c r="D42" s="58">
        <v>2000</v>
      </c>
      <c r="E42" s="58">
        <v>1354.19</v>
      </c>
      <c r="F42" s="58">
        <v>1951</v>
      </c>
      <c r="G42" s="58">
        <v>1750</v>
      </c>
      <c r="H42" s="58">
        <v>2411</v>
      </c>
      <c r="I42" s="58">
        <v>2658</v>
      </c>
      <c r="J42" s="12">
        <v>2358</v>
      </c>
    </row>
    <row r="43" spans="1:12">
      <c r="A43" t="s">
        <v>99</v>
      </c>
      <c r="B43" t="s">
        <v>167</v>
      </c>
      <c r="D43" s="58">
        <v>3500</v>
      </c>
      <c r="E43" s="58">
        <v>3371.79</v>
      </c>
      <c r="F43" s="58">
        <v>3410</v>
      </c>
      <c r="G43" s="58">
        <v>3008</v>
      </c>
      <c r="H43" s="58">
        <v>2541</v>
      </c>
      <c r="I43" s="58">
        <v>2517</v>
      </c>
      <c r="J43" s="12">
        <v>2552</v>
      </c>
    </row>
    <row r="44" spans="1:12">
      <c r="A44" t="s">
        <v>100</v>
      </c>
      <c r="B44" t="s">
        <v>168</v>
      </c>
      <c r="D44" s="57">
        <f>338*115%</f>
        <v>388.7</v>
      </c>
      <c r="E44" s="57">
        <v>425.48</v>
      </c>
      <c r="F44" s="57">
        <v>338</v>
      </c>
      <c r="G44" s="57">
        <v>387</v>
      </c>
      <c r="H44" s="58">
        <v>305</v>
      </c>
      <c r="I44" s="58">
        <v>202</v>
      </c>
      <c r="J44" s="12">
        <v>196</v>
      </c>
    </row>
    <row r="45" spans="1:12">
      <c r="A45" t="s">
        <v>665</v>
      </c>
      <c r="D45" s="57"/>
      <c r="E45" s="57"/>
      <c r="F45" s="57"/>
      <c r="G45" s="57"/>
      <c r="H45" s="58"/>
      <c r="I45" s="58"/>
      <c r="J45" s="12"/>
    </row>
    <row r="46" spans="1:12">
      <c r="A46" t="s">
        <v>918</v>
      </c>
      <c r="B46" t="s">
        <v>872</v>
      </c>
      <c r="D46" s="57">
        <v>0</v>
      </c>
      <c r="E46" s="57">
        <v>0</v>
      </c>
      <c r="F46" s="57">
        <v>1069</v>
      </c>
      <c r="G46" s="57">
        <v>264</v>
      </c>
      <c r="H46" s="58">
        <v>0</v>
      </c>
      <c r="I46" s="58">
        <v>0</v>
      </c>
      <c r="J46" s="12">
        <v>0</v>
      </c>
    </row>
    <row r="47" spans="1:12">
      <c r="A47" t="s">
        <v>157</v>
      </c>
      <c r="D47" s="58"/>
      <c r="E47" s="58"/>
      <c r="F47" s="58"/>
      <c r="G47" s="58"/>
      <c r="H47" s="58"/>
      <c r="I47" s="58"/>
      <c r="J47" s="12"/>
    </row>
    <row r="48" spans="1:12">
      <c r="A48" t="s">
        <v>101</v>
      </c>
      <c r="B48" t="s">
        <v>158</v>
      </c>
      <c r="D48" s="58">
        <v>10000</v>
      </c>
      <c r="E48" s="58">
        <v>5829</v>
      </c>
      <c r="F48" s="58">
        <v>4508</v>
      </c>
      <c r="G48" s="58">
        <v>6629</v>
      </c>
      <c r="H48" s="58">
        <v>4320</v>
      </c>
      <c r="I48" s="58">
        <v>2561</v>
      </c>
      <c r="J48" s="12">
        <v>139</v>
      </c>
    </row>
    <row r="49" spans="1:12">
      <c r="A49" t="s">
        <v>102</v>
      </c>
      <c r="B49" t="s">
        <v>159</v>
      </c>
      <c r="D49" s="58">
        <v>1000</v>
      </c>
      <c r="E49" s="58">
        <v>0</v>
      </c>
      <c r="F49" s="58">
        <v>6015</v>
      </c>
      <c r="G49" s="58">
        <v>0</v>
      </c>
      <c r="H49" s="58">
        <v>0</v>
      </c>
      <c r="I49" s="58">
        <v>0</v>
      </c>
      <c r="J49" s="12">
        <v>0</v>
      </c>
    </row>
    <row r="50" spans="1:12">
      <c r="A50" t="s">
        <v>103</v>
      </c>
      <c r="B50" t="s">
        <v>160</v>
      </c>
      <c r="D50" s="58">
        <v>2500</v>
      </c>
      <c r="E50" s="58">
        <v>1191.46</v>
      </c>
      <c r="F50" s="58">
        <v>1684</v>
      </c>
      <c r="G50" s="58">
        <v>534</v>
      </c>
      <c r="H50" s="58">
        <v>781</v>
      </c>
      <c r="I50" s="58">
        <v>0</v>
      </c>
      <c r="J50" s="12">
        <v>0</v>
      </c>
    </row>
    <row r="51" spans="1:12">
      <c r="A51" s="41" t="s">
        <v>1035</v>
      </c>
      <c r="B51" s="41" t="s">
        <v>1036</v>
      </c>
      <c r="D51" s="58">
        <v>0</v>
      </c>
      <c r="E51" s="58">
        <v>149.63</v>
      </c>
      <c r="F51" s="58">
        <v>0</v>
      </c>
      <c r="G51" s="58">
        <v>0</v>
      </c>
      <c r="H51" s="58">
        <v>0</v>
      </c>
      <c r="I51" s="58">
        <v>0</v>
      </c>
      <c r="J51" s="12">
        <v>0</v>
      </c>
    </row>
    <row r="52" spans="1:12">
      <c r="A52" t="s">
        <v>151</v>
      </c>
      <c r="D52" s="58"/>
      <c r="E52" s="58"/>
      <c r="F52" s="58"/>
      <c r="G52" s="58"/>
      <c r="H52" s="58"/>
      <c r="I52" s="58"/>
      <c r="J52" s="12"/>
    </row>
    <row r="53" spans="1:12">
      <c r="A53" t="s">
        <v>805</v>
      </c>
      <c r="B53" t="s">
        <v>154</v>
      </c>
      <c r="D53" s="58">
        <v>0</v>
      </c>
      <c r="E53" s="58">
        <v>0</v>
      </c>
      <c r="F53" s="58">
        <v>0</v>
      </c>
      <c r="G53" s="58">
        <v>0</v>
      </c>
      <c r="H53" s="58">
        <v>0</v>
      </c>
      <c r="I53" s="58">
        <v>160</v>
      </c>
      <c r="J53" s="12">
        <v>0</v>
      </c>
    </row>
    <row r="54" spans="1:12">
      <c r="A54" t="s">
        <v>148</v>
      </c>
      <c r="D54" s="58"/>
      <c r="E54" s="58"/>
      <c r="F54" s="58"/>
      <c r="G54" s="58"/>
      <c r="H54" s="58"/>
      <c r="I54" s="58"/>
      <c r="J54" s="12"/>
    </row>
    <row r="55" spans="1:12">
      <c r="A55" t="s">
        <v>104</v>
      </c>
      <c r="B55" t="s">
        <v>149</v>
      </c>
      <c r="D55" s="58">
        <v>0</v>
      </c>
      <c r="E55" s="58">
        <v>0</v>
      </c>
      <c r="F55" s="58">
        <v>0</v>
      </c>
      <c r="G55" s="58">
        <v>0</v>
      </c>
      <c r="H55" s="58">
        <v>0</v>
      </c>
      <c r="I55" s="58">
        <v>0</v>
      </c>
      <c r="J55" s="12">
        <v>0</v>
      </c>
    </row>
    <row r="56" spans="1:12">
      <c r="A56" t="s">
        <v>141</v>
      </c>
      <c r="D56" s="58"/>
      <c r="E56" s="58"/>
      <c r="F56" s="58"/>
      <c r="G56" s="58"/>
      <c r="H56" s="58"/>
      <c r="I56" s="58"/>
      <c r="J56" s="12"/>
    </row>
    <row r="57" spans="1:12">
      <c r="A57" t="s">
        <v>105</v>
      </c>
      <c r="B57" t="s">
        <v>142</v>
      </c>
      <c r="D57" s="58">
        <v>500</v>
      </c>
      <c r="E57" s="58">
        <v>0</v>
      </c>
      <c r="F57" s="58">
        <v>0</v>
      </c>
      <c r="G57" s="58">
        <v>0</v>
      </c>
      <c r="H57" s="58">
        <v>0</v>
      </c>
      <c r="I57" s="58">
        <v>15</v>
      </c>
      <c r="J57" s="12">
        <v>63.77</v>
      </c>
    </row>
    <row r="58" spans="1:12">
      <c r="D58" s="58"/>
      <c r="E58" s="58"/>
      <c r="F58" s="58"/>
      <c r="G58" s="58"/>
      <c r="H58" s="58"/>
      <c r="I58" s="58"/>
      <c r="J58" s="12"/>
      <c r="L58" s="41"/>
    </row>
    <row r="59" spans="1:12">
      <c r="A59" s="49"/>
      <c r="B59" s="38" t="s">
        <v>77</v>
      </c>
      <c r="D59" s="60">
        <f t="shared" ref="D59" si="0">SUM(D11:D57)</f>
        <v>39535.820000000007</v>
      </c>
      <c r="E59" s="60">
        <f t="shared" ref="E59:J59" si="1">SUM(E11:E57)</f>
        <v>29121.459999999995</v>
      </c>
      <c r="F59" s="60">
        <f t="shared" si="1"/>
        <v>37941</v>
      </c>
      <c r="G59" s="60">
        <f t="shared" si="1"/>
        <v>30702</v>
      </c>
      <c r="H59" s="60">
        <f t="shared" si="1"/>
        <v>26183.88</v>
      </c>
      <c r="I59" s="57">
        <f t="shared" si="1"/>
        <v>22398</v>
      </c>
      <c r="J59" s="12">
        <f t="shared" si="1"/>
        <v>22710.48</v>
      </c>
    </row>
    <row r="60" spans="1:12">
      <c r="A60" s="59"/>
      <c r="I60" s="17"/>
      <c r="J60" s="13"/>
    </row>
    <row r="61" spans="1:12">
      <c r="A61" s="49"/>
    </row>
  </sheetData>
  <phoneticPr fontId="2" type="noConversion"/>
  <pageMargins left="0.25" right="0.25" top="0.75" bottom="0.75" header="0.3" footer="0.3"/>
  <pageSetup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dimension ref="A1:L31"/>
  <sheetViews>
    <sheetView topLeftCell="B1" workbookViewId="0">
      <selection activeCell="E20" sqref="E20"/>
    </sheetView>
  </sheetViews>
  <sheetFormatPr defaultRowHeight="12.75"/>
  <cols>
    <col min="1" max="1" width="18.42578125" customWidth="1"/>
    <col min="2" max="2" width="27.42578125" customWidth="1"/>
    <col min="3" max="3" width="5.7109375" customWidth="1"/>
    <col min="4" max="4" width="11.7109375" customWidth="1"/>
    <col min="5" max="7" width="10.7109375" customWidth="1"/>
    <col min="8" max="8" width="11.28515625" bestFit="1" customWidth="1"/>
    <col min="9" max="10" width="10.7109375" customWidth="1"/>
  </cols>
  <sheetData>
    <row r="1" spans="1:10" ht="15.75">
      <c r="B1" s="20" t="s">
        <v>894</v>
      </c>
      <c r="D1" s="21">
        <v>2013</v>
      </c>
      <c r="E1" s="74">
        <v>2012</v>
      </c>
      <c r="F1" s="74">
        <v>2011</v>
      </c>
      <c r="G1" s="24">
        <v>2010</v>
      </c>
      <c r="H1" s="74">
        <v>2009</v>
      </c>
      <c r="I1" s="24">
        <v>2008</v>
      </c>
      <c r="J1" s="24">
        <v>2007</v>
      </c>
    </row>
    <row r="2" spans="1:10">
      <c r="D2" s="24" t="s">
        <v>676</v>
      </c>
      <c r="E2" s="74" t="s">
        <v>677</v>
      </c>
      <c r="F2" s="74" t="s">
        <v>677</v>
      </c>
      <c r="G2" s="74" t="s">
        <v>677</v>
      </c>
      <c r="H2" s="74" t="s">
        <v>677</v>
      </c>
      <c r="I2" s="25" t="s">
        <v>677</v>
      </c>
      <c r="J2" s="25" t="s">
        <v>677</v>
      </c>
    </row>
    <row r="4" spans="1:10">
      <c r="A4" t="s">
        <v>658</v>
      </c>
    </row>
    <row r="5" spans="1:10">
      <c r="A5" t="s">
        <v>108</v>
      </c>
    </row>
    <row r="6" spans="1:10">
      <c r="B6" t="s">
        <v>107</v>
      </c>
    </row>
    <row r="7" spans="1:10">
      <c r="B7" t="s">
        <v>255</v>
      </c>
      <c r="D7" s="12">
        <v>10000</v>
      </c>
      <c r="E7" s="12">
        <v>10000</v>
      </c>
      <c r="F7" s="12">
        <v>10000</v>
      </c>
      <c r="G7" s="12">
        <v>5000</v>
      </c>
      <c r="H7" s="14">
        <v>5000</v>
      </c>
      <c r="I7" s="12">
        <v>5000</v>
      </c>
      <c r="J7" s="12"/>
    </row>
    <row r="8" spans="1:10">
      <c r="B8" t="s">
        <v>256</v>
      </c>
      <c r="D8" s="12">
        <v>5400</v>
      </c>
      <c r="E8" s="57">
        <v>5850</v>
      </c>
      <c r="F8" s="57">
        <v>6300</v>
      </c>
      <c r="G8" s="57">
        <v>6638</v>
      </c>
      <c r="H8" s="71">
        <v>6975</v>
      </c>
      <c r="I8" s="58">
        <v>7088</v>
      </c>
      <c r="J8" s="12">
        <v>7200</v>
      </c>
    </row>
    <row r="9" spans="1:10">
      <c r="B9" t="s">
        <v>257</v>
      </c>
      <c r="D9" s="12"/>
      <c r="E9" s="58"/>
      <c r="F9" s="58"/>
      <c r="G9" s="58"/>
      <c r="H9" s="71">
        <v>0</v>
      </c>
      <c r="I9" s="58"/>
      <c r="J9" s="12"/>
    </row>
    <row r="10" spans="1:10">
      <c r="B10" t="s">
        <v>258</v>
      </c>
      <c r="D10" s="12"/>
      <c r="E10" s="58"/>
      <c r="F10" s="58"/>
      <c r="G10" s="58"/>
      <c r="H10" s="71">
        <v>0</v>
      </c>
      <c r="I10" s="58"/>
      <c r="J10" s="12"/>
    </row>
    <row r="11" spans="1:10">
      <c r="B11" t="s">
        <v>259</v>
      </c>
      <c r="D11" s="12">
        <v>125</v>
      </c>
      <c r="E11" s="58">
        <v>0</v>
      </c>
      <c r="F11" s="58"/>
      <c r="G11" s="58">
        <v>125</v>
      </c>
      <c r="H11" s="71">
        <v>0</v>
      </c>
      <c r="I11" s="58"/>
      <c r="J11" s="12"/>
    </row>
    <row r="12" spans="1:10">
      <c r="D12" s="12"/>
      <c r="E12" s="58"/>
      <c r="F12" s="58"/>
      <c r="G12" s="58"/>
      <c r="H12" s="71"/>
      <c r="I12" s="58"/>
      <c r="J12" s="12"/>
    </row>
    <row r="13" spans="1:10">
      <c r="B13" s="38" t="s">
        <v>77</v>
      </c>
      <c r="D13" s="12">
        <f>SUM(D6:D11)</f>
        <v>15525</v>
      </c>
      <c r="E13" s="58">
        <f>SUM(E7:E12)</f>
        <v>15850</v>
      </c>
      <c r="F13" s="58">
        <f>SUM(F7:F12)</f>
        <v>16300</v>
      </c>
      <c r="G13" s="58">
        <f>SUM(G7:G12)</f>
        <v>11763</v>
      </c>
      <c r="H13" s="71">
        <f>SUM(H7:H12)</f>
        <v>11975</v>
      </c>
      <c r="I13" s="57">
        <f>SUM(I7:I12)</f>
        <v>12088</v>
      </c>
      <c r="J13" s="12">
        <f>SUM(J6:J11)</f>
        <v>7200</v>
      </c>
    </row>
    <row r="14" spans="1:10">
      <c r="D14" s="12"/>
      <c r="E14" s="58"/>
      <c r="F14" s="58"/>
      <c r="G14" s="58"/>
      <c r="H14" s="71"/>
      <c r="I14" s="58"/>
      <c r="J14" s="12"/>
    </row>
    <row r="15" spans="1:10">
      <c r="A15" t="s">
        <v>106</v>
      </c>
      <c r="D15" s="12"/>
      <c r="E15" s="58"/>
      <c r="F15" s="58"/>
      <c r="G15" s="58"/>
      <c r="H15" s="71"/>
      <c r="I15" s="58"/>
      <c r="J15" s="12"/>
    </row>
    <row r="16" spans="1:10">
      <c r="B16" t="s">
        <v>260</v>
      </c>
      <c r="D16" s="86">
        <v>1475</v>
      </c>
      <c r="E16" s="87"/>
      <c r="F16" s="104"/>
      <c r="G16" s="68"/>
      <c r="H16" s="70"/>
      <c r="I16" s="58"/>
      <c r="J16" s="12"/>
    </row>
    <row r="17" spans="1:12">
      <c r="B17" t="s">
        <v>261</v>
      </c>
      <c r="D17" s="12">
        <f>7025*2</f>
        <v>14050</v>
      </c>
      <c r="E17" s="57">
        <v>15040.96</v>
      </c>
      <c r="F17" s="57">
        <v>7894</v>
      </c>
      <c r="G17" s="57">
        <v>2630</v>
      </c>
      <c r="H17" s="71">
        <v>17819</v>
      </c>
      <c r="I17" s="58">
        <v>5044</v>
      </c>
      <c r="J17" s="12"/>
    </row>
    <row r="18" spans="1:12">
      <c r="B18" s="19" t="s">
        <v>55</v>
      </c>
      <c r="D18" s="12"/>
      <c r="E18" s="58">
        <v>94.19</v>
      </c>
      <c r="F18" s="58">
        <f>496+7402</f>
        <v>7898</v>
      </c>
      <c r="G18" s="58">
        <v>5532</v>
      </c>
      <c r="H18" s="71">
        <v>0</v>
      </c>
      <c r="I18" s="58">
        <v>1208</v>
      </c>
      <c r="J18" s="12">
        <v>323</v>
      </c>
    </row>
    <row r="19" spans="1:12">
      <c r="D19" s="12"/>
      <c r="E19" s="58"/>
      <c r="F19" s="58"/>
      <c r="G19" s="58"/>
      <c r="H19" s="71"/>
      <c r="I19" s="58"/>
      <c r="J19" s="12"/>
    </row>
    <row r="20" spans="1:12">
      <c r="B20" s="38" t="s">
        <v>77</v>
      </c>
      <c r="D20" s="12">
        <f>SUM(D16:D19)</f>
        <v>15525</v>
      </c>
      <c r="E20" s="58">
        <f>SUM(E16:E19)</f>
        <v>15135.15</v>
      </c>
      <c r="F20" s="58">
        <f>SUM(F16:F19)</f>
        <v>15792</v>
      </c>
      <c r="G20" s="58">
        <f>SUM(G16:G19)</f>
        <v>8162</v>
      </c>
      <c r="H20" s="71">
        <f>SUM(H16:H19)</f>
        <v>17819</v>
      </c>
      <c r="I20" s="57">
        <f>SUM(I17:I19)</f>
        <v>6252</v>
      </c>
      <c r="J20" s="12">
        <f>SUM(J16:J18)</f>
        <v>323</v>
      </c>
    </row>
    <row r="21" spans="1:12">
      <c r="H21" s="14"/>
      <c r="I21" s="12"/>
      <c r="J21" s="12"/>
    </row>
    <row r="22" spans="1:12">
      <c r="A22" s="19"/>
    </row>
    <row r="25" spans="1:12">
      <c r="F25" s="94"/>
    </row>
    <row r="26" spans="1:12">
      <c r="E26" s="19"/>
      <c r="F26" s="19"/>
    </row>
    <row r="27" spans="1:12">
      <c r="E27" s="19"/>
      <c r="F27" s="19"/>
    </row>
    <row r="28" spans="1:12">
      <c r="E28" s="37"/>
      <c r="F28" s="37"/>
    </row>
    <row r="31" spans="1:12">
      <c r="L31" s="41"/>
    </row>
  </sheetData>
  <phoneticPr fontId="2" type="noConversion"/>
  <pageMargins left="0.25" right="0.25" top="0.75" bottom="0.75" header="0.3" footer="0.3"/>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J48"/>
  <sheetViews>
    <sheetView topLeftCell="A28" zoomScaleNormal="100" workbookViewId="0">
      <selection activeCell="E46" sqref="E46"/>
    </sheetView>
  </sheetViews>
  <sheetFormatPr defaultRowHeight="12.75"/>
  <cols>
    <col min="1" max="1" width="41.5703125" customWidth="1"/>
    <col min="3" max="3" width="3.7109375" customWidth="1"/>
    <col min="4" max="8" width="11.7109375" customWidth="1"/>
    <col min="9" max="9" width="11.140625" customWidth="1"/>
    <col min="10" max="10" width="11" customWidth="1"/>
  </cols>
  <sheetData>
    <row r="1" spans="1:10" ht="15.75">
      <c r="A1" s="20" t="s">
        <v>651</v>
      </c>
      <c r="D1" s="21">
        <v>2013</v>
      </c>
      <c r="E1" s="74">
        <v>2012</v>
      </c>
      <c r="F1" s="74">
        <v>2011</v>
      </c>
      <c r="G1" s="24">
        <v>2010</v>
      </c>
      <c r="H1" s="74">
        <v>2009</v>
      </c>
      <c r="I1" s="24">
        <v>2008</v>
      </c>
      <c r="J1" s="24">
        <v>2007</v>
      </c>
    </row>
    <row r="2" spans="1:10">
      <c r="D2" s="24" t="s">
        <v>676</v>
      </c>
      <c r="E2" s="74" t="s">
        <v>677</v>
      </c>
      <c r="F2" s="74" t="s">
        <v>677</v>
      </c>
      <c r="G2" s="24" t="s">
        <v>677</v>
      </c>
      <c r="H2" s="74" t="s">
        <v>677</v>
      </c>
      <c r="I2" s="25" t="s">
        <v>677</v>
      </c>
      <c r="J2" s="25" t="s">
        <v>677</v>
      </c>
    </row>
    <row r="3" spans="1:10">
      <c r="A3" t="s">
        <v>631</v>
      </c>
      <c r="B3">
        <v>30100</v>
      </c>
      <c r="D3" s="86">
        <f>SUM('BUDGET SUMMARY'!A5)</f>
        <v>376525</v>
      </c>
      <c r="E3" s="86">
        <v>382654</v>
      </c>
      <c r="F3" s="86">
        <f>298131+19087+38+44</f>
        <v>317300</v>
      </c>
      <c r="G3" s="86">
        <f>292940+21452+19085+3+21+7+93</f>
        <v>333601</v>
      </c>
      <c r="H3" s="87">
        <f>279960+34475+33056+91</f>
        <v>347582</v>
      </c>
      <c r="I3" s="86">
        <f>239984+66048+18</f>
        <v>306050</v>
      </c>
      <c r="J3" s="86">
        <v>273237</v>
      </c>
    </row>
    <row r="4" spans="1:10">
      <c r="A4" t="s">
        <v>632</v>
      </c>
      <c r="B4">
        <v>30102</v>
      </c>
      <c r="D4" s="12">
        <v>367822</v>
      </c>
      <c r="E4" s="12">
        <v>367822</v>
      </c>
      <c r="F4" s="12">
        <v>390314</v>
      </c>
      <c r="G4" s="12">
        <v>367822</v>
      </c>
      <c r="H4" s="60">
        <v>399587</v>
      </c>
      <c r="I4" s="12">
        <v>382430</v>
      </c>
      <c r="J4" s="12">
        <v>418687</v>
      </c>
    </row>
    <row r="5" spans="1:10">
      <c r="A5" t="s">
        <v>800</v>
      </c>
      <c r="B5">
        <v>30302</v>
      </c>
      <c r="D5" s="12">
        <v>10000</v>
      </c>
      <c r="E5" s="12">
        <v>0</v>
      </c>
      <c r="F5" s="12">
        <v>0</v>
      </c>
      <c r="G5" s="12">
        <v>10911</v>
      </c>
      <c r="H5" s="60">
        <v>0</v>
      </c>
      <c r="I5" s="12">
        <v>9634</v>
      </c>
      <c r="J5" s="12">
        <v>0</v>
      </c>
    </row>
    <row r="6" spans="1:10">
      <c r="A6" t="s">
        <v>963</v>
      </c>
      <c r="B6">
        <v>30500</v>
      </c>
      <c r="D6" s="12">
        <v>0</v>
      </c>
      <c r="E6" s="12">
        <v>38</v>
      </c>
      <c r="F6" s="12">
        <v>0</v>
      </c>
      <c r="G6" s="12">
        <v>0</v>
      </c>
      <c r="H6" s="60">
        <v>0</v>
      </c>
      <c r="I6" s="12">
        <v>0</v>
      </c>
      <c r="J6" s="12">
        <v>0</v>
      </c>
    </row>
    <row r="7" spans="1:10">
      <c r="A7" t="s">
        <v>659</v>
      </c>
      <c r="B7">
        <v>30600</v>
      </c>
      <c r="D7" s="12">
        <v>0</v>
      </c>
      <c r="E7" s="12">
        <v>0</v>
      </c>
      <c r="F7" s="12">
        <v>0</v>
      </c>
      <c r="G7" s="12">
        <v>0</v>
      </c>
      <c r="H7" s="58">
        <f>8+34+5</f>
        <v>47</v>
      </c>
      <c r="I7" s="12">
        <v>0</v>
      </c>
      <c r="J7" s="12">
        <v>196</v>
      </c>
    </row>
    <row r="8" spans="1:10">
      <c r="A8" s="19" t="s">
        <v>772</v>
      </c>
      <c r="B8">
        <v>30913</v>
      </c>
      <c r="D8" s="12">
        <v>1290</v>
      </c>
      <c r="E8" s="12">
        <v>1290</v>
      </c>
      <c r="F8" s="12">
        <v>645</v>
      </c>
      <c r="G8" s="12">
        <v>1290</v>
      </c>
      <c r="H8" s="12">
        <v>645</v>
      </c>
      <c r="I8" s="12">
        <v>1290</v>
      </c>
      <c r="J8" s="12">
        <v>1290</v>
      </c>
    </row>
    <row r="9" spans="1:10">
      <c r="A9" s="41" t="s">
        <v>965</v>
      </c>
      <c r="B9">
        <v>31005</v>
      </c>
      <c r="D9" s="12">
        <v>0</v>
      </c>
      <c r="E9" s="12">
        <v>104</v>
      </c>
      <c r="F9" s="12">
        <v>0</v>
      </c>
      <c r="G9" s="12">
        <v>0</v>
      </c>
      <c r="H9" s="12">
        <v>0</v>
      </c>
      <c r="I9" s="12">
        <v>0</v>
      </c>
      <c r="J9" s="12">
        <v>0</v>
      </c>
    </row>
    <row r="10" spans="1:10">
      <c r="A10" s="41" t="s">
        <v>964</v>
      </c>
      <c r="B10">
        <v>31100</v>
      </c>
      <c r="D10" s="12">
        <v>0</v>
      </c>
      <c r="E10" s="12">
        <v>75</v>
      </c>
      <c r="F10" s="12">
        <v>0</v>
      </c>
      <c r="G10" s="12">
        <v>0</v>
      </c>
      <c r="H10" s="12">
        <v>0</v>
      </c>
      <c r="I10" s="12">
        <v>0</v>
      </c>
      <c r="J10" s="12">
        <v>0</v>
      </c>
    </row>
    <row r="11" spans="1:10">
      <c r="A11" t="s">
        <v>633</v>
      </c>
      <c r="B11">
        <v>31400</v>
      </c>
      <c r="D11" s="12">
        <v>1500</v>
      </c>
      <c r="E11" s="12">
        <v>1290</v>
      </c>
      <c r="F11" s="12">
        <f>1025+200</f>
        <v>1225</v>
      </c>
      <c r="G11" s="12">
        <v>700</v>
      </c>
      <c r="H11" s="12">
        <v>1000</v>
      </c>
      <c r="I11" s="12">
        <v>900</v>
      </c>
      <c r="J11" s="12">
        <v>300</v>
      </c>
    </row>
    <row r="12" spans="1:10">
      <c r="A12" t="s">
        <v>966</v>
      </c>
      <c r="B12">
        <v>31500</v>
      </c>
      <c r="D12" s="12">
        <v>0</v>
      </c>
      <c r="E12" s="12">
        <v>700</v>
      </c>
      <c r="F12" s="12">
        <v>0</v>
      </c>
      <c r="G12" s="12">
        <v>0</v>
      </c>
      <c r="H12" s="12">
        <v>0</v>
      </c>
      <c r="I12" s="12">
        <v>0</v>
      </c>
      <c r="J12" s="12">
        <v>0</v>
      </c>
    </row>
    <row r="13" spans="1:10">
      <c r="A13" t="s">
        <v>634</v>
      </c>
      <c r="B13">
        <v>31600</v>
      </c>
      <c r="D13" s="12">
        <v>850</v>
      </c>
      <c r="E13" s="12">
        <v>1025</v>
      </c>
      <c r="F13" s="12">
        <v>850</v>
      </c>
      <c r="G13" s="12">
        <v>425</v>
      </c>
      <c r="H13" s="12">
        <v>705</v>
      </c>
      <c r="I13" s="12">
        <v>1035</v>
      </c>
      <c r="J13" s="12">
        <v>1830</v>
      </c>
    </row>
    <row r="14" spans="1:10">
      <c r="A14" t="s">
        <v>635</v>
      </c>
      <c r="B14">
        <v>31700</v>
      </c>
      <c r="D14" s="12">
        <v>50</v>
      </c>
      <c r="E14" s="12">
        <v>50</v>
      </c>
      <c r="F14" s="12">
        <v>20</v>
      </c>
      <c r="G14" s="12">
        <f>100+85+200</f>
        <v>385</v>
      </c>
      <c r="H14" s="12">
        <v>160</v>
      </c>
      <c r="I14" s="12">
        <v>0</v>
      </c>
      <c r="J14" s="12">
        <v>10</v>
      </c>
    </row>
    <row r="15" spans="1:10">
      <c r="A15" t="s">
        <v>636</v>
      </c>
      <c r="B15">
        <v>31800</v>
      </c>
      <c r="D15" s="57">
        <v>850</v>
      </c>
      <c r="E15" s="57">
        <v>1158</v>
      </c>
      <c r="F15" s="57">
        <v>842</v>
      </c>
      <c r="G15" s="57">
        <v>900</v>
      </c>
      <c r="H15" s="58">
        <v>389</v>
      </c>
      <c r="I15" s="58">
        <v>364</v>
      </c>
      <c r="J15" s="12">
        <v>226</v>
      </c>
    </row>
    <row r="16" spans="1:10">
      <c r="A16" t="s">
        <v>637</v>
      </c>
      <c r="B16">
        <v>32022</v>
      </c>
      <c r="D16" s="58">
        <v>0</v>
      </c>
      <c r="E16" s="58">
        <v>0</v>
      </c>
      <c r="F16" s="58">
        <v>0</v>
      </c>
      <c r="G16" s="58">
        <v>0</v>
      </c>
      <c r="H16" s="58">
        <f>7268+2076</f>
        <v>9344</v>
      </c>
      <c r="I16" s="58">
        <v>6583</v>
      </c>
      <c r="J16" s="12">
        <v>8114.48</v>
      </c>
    </row>
    <row r="17" spans="1:10">
      <c r="A17" s="19" t="s">
        <v>783</v>
      </c>
      <c r="B17">
        <v>32100</v>
      </c>
      <c r="D17" s="58">
        <v>0</v>
      </c>
      <c r="E17" s="58">
        <v>0</v>
      </c>
      <c r="F17" s="58">
        <v>0</v>
      </c>
      <c r="G17" s="58">
        <v>0</v>
      </c>
      <c r="H17" s="58">
        <v>0</v>
      </c>
      <c r="I17" s="58">
        <v>2402.06</v>
      </c>
      <c r="J17" s="12">
        <v>0</v>
      </c>
    </row>
    <row r="18" spans="1:10">
      <c r="A18" t="s">
        <v>638</v>
      </c>
      <c r="B18">
        <v>32300</v>
      </c>
      <c r="D18" s="58">
        <v>0</v>
      </c>
      <c r="E18" s="58">
        <v>0</v>
      </c>
      <c r="F18" s="58">
        <v>0</v>
      </c>
      <c r="G18" s="58">
        <f>2430+1500</f>
        <v>3930</v>
      </c>
      <c r="H18" s="58">
        <v>0</v>
      </c>
      <c r="I18" s="58">
        <v>1000</v>
      </c>
      <c r="J18" s="12">
        <v>0</v>
      </c>
    </row>
    <row r="19" spans="1:10">
      <c r="A19" t="s">
        <v>639</v>
      </c>
      <c r="B19">
        <v>32500</v>
      </c>
      <c r="D19" s="58">
        <v>13000</v>
      </c>
      <c r="E19" s="58">
        <v>12406</v>
      </c>
      <c r="F19" s="58">
        <v>13146</v>
      </c>
      <c r="G19" s="58">
        <v>12965</v>
      </c>
      <c r="H19" s="58">
        <v>11721</v>
      </c>
      <c r="I19" s="58">
        <v>10422</v>
      </c>
      <c r="J19" s="12">
        <v>8940</v>
      </c>
    </row>
    <row r="20" spans="1:10">
      <c r="A20" t="s">
        <v>640</v>
      </c>
      <c r="B20">
        <v>32600</v>
      </c>
      <c r="D20" s="58">
        <v>0</v>
      </c>
      <c r="E20" s="58">
        <v>0</v>
      </c>
      <c r="F20" s="58">
        <v>0</v>
      </c>
      <c r="G20" s="58">
        <v>0</v>
      </c>
      <c r="H20" s="58">
        <v>0</v>
      </c>
      <c r="I20" s="58">
        <v>25</v>
      </c>
      <c r="J20" s="12">
        <f>1655+11089</f>
        <v>12744</v>
      </c>
    </row>
    <row r="21" spans="1:10">
      <c r="A21" t="s">
        <v>643</v>
      </c>
      <c r="B21">
        <v>32700</v>
      </c>
      <c r="D21" s="58">
        <v>0</v>
      </c>
      <c r="E21" s="58">
        <v>-24218</v>
      </c>
      <c r="F21" s="58">
        <v>-221</v>
      </c>
      <c r="G21" s="58">
        <v>368</v>
      </c>
      <c r="H21" s="58">
        <v>0</v>
      </c>
      <c r="I21" s="58">
        <v>0</v>
      </c>
      <c r="J21" s="12">
        <v>10137</v>
      </c>
    </row>
    <row r="22" spans="1:10">
      <c r="A22" t="s">
        <v>967</v>
      </c>
      <c r="B22">
        <v>32900</v>
      </c>
      <c r="D22" s="58">
        <v>0</v>
      </c>
      <c r="E22" s="58">
        <v>2314</v>
      </c>
      <c r="F22" s="58">
        <v>0</v>
      </c>
      <c r="G22" s="58">
        <v>0</v>
      </c>
      <c r="H22" s="58">
        <v>0</v>
      </c>
      <c r="I22" s="58">
        <v>0</v>
      </c>
      <c r="J22" s="12">
        <v>0</v>
      </c>
    </row>
    <row r="23" spans="1:10">
      <c r="A23" t="s">
        <v>646</v>
      </c>
      <c r="B23">
        <v>33100</v>
      </c>
      <c r="D23" s="58">
        <v>48250</v>
      </c>
      <c r="E23" s="58">
        <v>74797</v>
      </c>
      <c r="F23" s="58">
        <f>20483+12501+22549+14741+15</f>
        <v>70289</v>
      </c>
      <c r="G23" s="58">
        <f>14402+15482+25877+10754</f>
        <v>66515</v>
      </c>
      <c r="H23" s="58">
        <f>13935+16921+21442+9690-18</f>
        <v>61970</v>
      </c>
      <c r="I23" s="60">
        <v>64570</v>
      </c>
      <c r="J23" s="12">
        <f>5840+20689+29145+12078</f>
        <v>67752</v>
      </c>
    </row>
    <row r="24" spans="1:10">
      <c r="A24" s="19" t="s">
        <v>773</v>
      </c>
      <c r="B24">
        <v>33200</v>
      </c>
      <c r="D24" s="57">
        <v>10500</v>
      </c>
      <c r="E24" s="57">
        <v>3490</v>
      </c>
      <c r="F24" s="57">
        <f>10706-25</f>
        <v>10681</v>
      </c>
      <c r="G24" s="57">
        <f>23+44+6346</f>
        <v>6413</v>
      </c>
      <c r="H24" s="58">
        <f>73+8755</f>
        <v>8828</v>
      </c>
      <c r="I24" s="58">
        <f>3713+15</f>
        <v>3728</v>
      </c>
      <c r="J24" s="12">
        <v>1050</v>
      </c>
    </row>
    <row r="25" spans="1:10">
      <c r="A25" t="s">
        <v>641</v>
      </c>
      <c r="B25">
        <v>33201</v>
      </c>
      <c r="D25" s="58">
        <v>1000</v>
      </c>
      <c r="E25" s="58">
        <v>968</v>
      </c>
      <c r="F25" s="58">
        <v>939</v>
      </c>
      <c r="G25" s="58">
        <f>208+182</f>
        <v>390</v>
      </c>
      <c r="H25" s="58">
        <v>674</v>
      </c>
      <c r="I25" s="58">
        <f>879+3714</f>
        <v>4593</v>
      </c>
      <c r="J25" s="12">
        <f>822</f>
        <v>822</v>
      </c>
    </row>
    <row r="26" spans="1:10">
      <c r="A26" t="s">
        <v>642</v>
      </c>
      <c r="B26">
        <v>33300</v>
      </c>
      <c r="D26" s="58">
        <v>15000</v>
      </c>
      <c r="E26" s="58">
        <v>16883</v>
      </c>
      <c r="F26" s="58">
        <f>25+14025</f>
        <v>14050</v>
      </c>
      <c r="G26" s="58">
        <v>9729</v>
      </c>
      <c r="H26" s="60">
        <f>735+11146</f>
        <v>11881</v>
      </c>
      <c r="I26" s="58">
        <v>3470</v>
      </c>
      <c r="J26" s="12">
        <f>1440+2480+240</f>
        <v>4160</v>
      </c>
    </row>
    <row r="27" spans="1:10">
      <c r="A27" t="s">
        <v>644</v>
      </c>
      <c r="B27">
        <v>34100</v>
      </c>
      <c r="D27" s="58">
        <v>4000</v>
      </c>
      <c r="E27" s="58">
        <v>3449</v>
      </c>
      <c r="F27" s="58">
        <v>3536</v>
      </c>
      <c r="G27" s="58">
        <v>4116</v>
      </c>
      <c r="H27" s="58">
        <v>3542</v>
      </c>
      <c r="I27" s="58">
        <v>3158</v>
      </c>
      <c r="J27" s="12">
        <v>2805</v>
      </c>
    </row>
    <row r="28" spans="1:10">
      <c r="A28" t="s">
        <v>645</v>
      </c>
      <c r="B28">
        <v>35100</v>
      </c>
      <c r="D28" s="58">
        <v>0</v>
      </c>
      <c r="E28" s="58">
        <v>0</v>
      </c>
      <c r="F28" s="58">
        <v>0</v>
      </c>
      <c r="G28" s="58">
        <v>0</v>
      </c>
      <c r="H28" s="60">
        <v>0</v>
      </c>
      <c r="I28" s="61">
        <v>0</v>
      </c>
      <c r="J28" s="12">
        <v>0</v>
      </c>
    </row>
    <row r="29" spans="1:10">
      <c r="A29" t="s">
        <v>29</v>
      </c>
      <c r="B29">
        <v>35500</v>
      </c>
      <c r="D29" s="58">
        <v>500</v>
      </c>
      <c r="E29" s="58">
        <v>434</v>
      </c>
      <c r="F29" s="58">
        <f>329+23</f>
        <v>352</v>
      </c>
      <c r="G29" s="58">
        <f>262+9</f>
        <v>271</v>
      </c>
      <c r="H29" s="58">
        <v>288</v>
      </c>
      <c r="I29" s="58">
        <v>215</v>
      </c>
      <c r="J29" s="12">
        <v>126</v>
      </c>
    </row>
    <row r="30" spans="1:10">
      <c r="A30" t="s">
        <v>30</v>
      </c>
      <c r="B30">
        <v>36100</v>
      </c>
      <c r="D30" s="58">
        <v>2600</v>
      </c>
      <c r="E30" s="58">
        <v>1407</v>
      </c>
      <c r="F30" s="58">
        <v>2542</v>
      </c>
      <c r="G30" s="58">
        <v>6628</v>
      </c>
      <c r="H30" s="58">
        <v>6092</v>
      </c>
      <c r="I30" s="58">
        <v>8793</v>
      </c>
      <c r="J30" s="30">
        <f>12994+47+342</f>
        <v>13383</v>
      </c>
    </row>
    <row r="31" spans="1:10">
      <c r="A31" t="s">
        <v>31</v>
      </c>
      <c r="B31">
        <v>36200</v>
      </c>
      <c r="D31" s="57">
        <v>8400</v>
      </c>
      <c r="E31" s="57">
        <v>10862</v>
      </c>
      <c r="F31" s="57">
        <f>6936+1383</f>
        <v>8319</v>
      </c>
      <c r="G31" s="57">
        <f>20085+3116</f>
        <v>23201</v>
      </c>
      <c r="H31" s="58">
        <f>300+163</f>
        <v>463</v>
      </c>
      <c r="I31" s="58">
        <v>100</v>
      </c>
      <c r="J31" s="12">
        <v>300</v>
      </c>
    </row>
    <row r="32" spans="1:10">
      <c r="A32" t="s">
        <v>32</v>
      </c>
      <c r="B32">
        <v>36400</v>
      </c>
      <c r="D32" s="58">
        <v>5600</v>
      </c>
      <c r="E32" s="58">
        <v>1748</v>
      </c>
      <c r="F32" s="58">
        <f>100+304+5194</f>
        <v>5598</v>
      </c>
      <c r="G32" s="58">
        <f>25+150+115+2771</f>
        <v>3061</v>
      </c>
      <c r="H32" s="58">
        <f>74+75+40+6600+400</f>
        <v>7189</v>
      </c>
      <c r="I32" s="58">
        <f>200+1000+500+10080+420</f>
        <v>12200</v>
      </c>
      <c r="J32" s="12">
        <f>400+8087+425</f>
        <v>8912</v>
      </c>
    </row>
    <row r="33" spans="1:10">
      <c r="A33" t="s">
        <v>33</v>
      </c>
      <c r="B33">
        <v>36500</v>
      </c>
      <c r="D33" s="58">
        <v>5500</v>
      </c>
      <c r="E33" s="58">
        <v>7025</v>
      </c>
      <c r="F33" s="58">
        <f>544+124+60+1660+2725+100+19</f>
        <v>5232</v>
      </c>
      <c r="G33" s="58">
        <f>646+150+77+25+2027+6018+50+140+514</f>
        <v>9647</v>
      </c>
      <c r="H33" s="58">
        <f>1473+48+1665+7104+50+790+5+60+50+374+105</f>
        <v>11724</v>
      </c>
      <c r="I33" s="58">
        <f>1433+1162+4170+600+130+761+80</f>
        <v>8336</v>
      </c>
      <c r="J33" s="30">
        <f>120+972+3850+4027+1183+500+501</f>
        <v>11153</v>
      </c>
    </row>
    <row r="34" spans="1:10">
      <c r="A34" t="s">
        <v>34</v>
      </c>
      <c r="B34">
        <v>36503</v>
      </c>
      <c r="D34" s="58">
        <v>13000</v>
      </c>
      <c r="E34" s="58">
        <v>17507</v>
      </c>
      <c r="F34" s="58">
        <v>12665</v>
      </c>
      <c r="G34" s="58">
        <v>15962</v>
      </c>
      <c r="H34" s="58">
        <v>12010</v>
      </c>
      <c r="I34" s="58">
        <v>12355</v>
      </c>
      <c r="J34" s="12">
        <f>12+8668</f>
        <v>8680</v>
      </c>
    </row>
    <row r="35" spans="1:10">
      <c r="A35" t="s">
        <v>35</v>
      </c>
      <c r="B35">
        <v>36504</v>
      </c>
      <c r="D35" s="57">
        <v>0</v>
      </c>
      <c r="E35" s="57">
        <v>0</v>
      </c>
      <c r="F35" s="57">
        <v>0</v>
      </c>
      <c r="G35" s="57">
        <v>0</v>
      </c>
      <c r="H35" s="58">
        <v>5839</v>
      </c>
      <c r="I35" s="58">
        <v>5973</v>
      </c>
      <c r="J35" s="12">
        <f>5590+1321</f>
        <v>6911</v>
      </c>
    </row>
    <row r="36" spans="1:10">
      <c r="A36" t="s">
        <v>36</v>
      </c>
      <c r="B36">
        <v>36505</v>
      </c>
      <c r="D36" s="58">
        <v>0</v>
      </c>
      <c r="E36" s="58">
        <v>0</v>
      </c>
      <c r="F36" s="58">
        <v>0</v>
      </c>
      <c r="G36" s="58">
        <v>0</v>
      </c>
      <c r="H36" s="58">
        <v>557</v>
      </c>
      <c r="I36" s="58">
        <v>0</v>
      </c>
      <c r="J36" s="12">
        <f>48+25</f>
        <v>73</v>
      </c>
    </row>
    <row r="37" spans="1:10">
      <c r="A37" t="s">
        <v>37</v>
      </c>
      <c r="B37">
        <v>36506</v>
      </c>
      <c r="D37" s="58">
        <v>12313</v>
      </c>
      <c r="E37" s="58">
        <v>5292</v>
      </c>
      <c r="F37" s="58">
        <v>0</v>
      </c>
      <c r="G37" s="58">
        <v>12324</v>
      </c>
      <c r="H37" s="58">
        <v>10448</v>
      </c>
      <c r="I37" s="58">
        <v>4607</v>
      </c>
      <c r="J37" s="12">
        <v>7954</v>
      </c>
    </row>
    <row r="38" spans="1:10">
      <c r="A38" t="s">
        <v>38</v>
      </c>
      <c r="B38">
        <v>36800</v>
      </c>
      <c r="D38" s="58">
        <v>1000</v>
      </c>
      <c r="E38" s="58">
        <v>1220</v>
      </c>
      <c r="F38" s="58">
        <v>897</v>
      </c>
      <c r="G38" s="58">
        <v>922</v>
      </c>
      <c r="H38" s="58">
        <v>838</v>
      </c>
      <c r="I38" s="58">
        <v>400</v>
      </c>
      <c r="J38" s="12">
        <v>369</v>
      </c>
    </row>
    <row r="39" spans="1:10">
      <c r="A39" t="s">
        <v>196</v>
      </c>
      <c r="B39">
        <v>37100</v>
      </c>
      <c r="D39" s="58">
        <v>0</v>
      </c>
      <c r="E39" s="58">
        <v>0</v>
      </c>
      <c r="F39" s="58">
        <v>0</v>
      </c>
      <c r="G39" s="58">
        <v>0</v>
      </c>
      <c r="H39" s="58">
        <v>0</v>
      </c>
      <c r="I39" s="58">
        <v>1500</v>
      </c>
      <c r="J39" s="12">
        <v>4691</v>
      </c>
    </row>
    <row r="40" spans="1:10">
      <c r="A40" t="s">
        <v>197</v>
      </c>
      <c r="B40">
        <v>37200</v>
      </c>
      <c r="D40" s="58">
        <v>500</v>
      </c>
      <c r="E40" s="58">
        <v>0</v>
      </c>
      <c r="F40" s="58">
        <v>221</v>
      </c>
      <c r="G40" s="58">
        <v>0</v>
      </c>
      <c r="H40" s="58">
        <f>85+20</f>
        <v>105</v>
      </c>
      <c r="I40" s="58">
        <f>4990+801+257</f>
        <v>6048</v>
      </c>
      <c r="J40" s="12">
        <v>0</v>
      </c>
    </row>
    <row r="41" spans="1:10">
      <c r="A41" t="s">
        <v>198</v>
      </c>
      <c r="B41">
        <v>37300</v>
      </c>
      <c r="D41" s="58">
        <v>5000</v>
      </c>
      <c r="E41" s="58">
        <v>25582</v>
      </c>
      <c r="F41" s="58">
        <f>3200+744+500</f>
        <v>4444</v>
      </c>
      <c r="G41" s="58">
        <f>3936+254+400</f>
        <v>4590</v>
      </c>
      <c r="H41" s="60">
        <v>5227</v>
      </c>
      <c r="I41" s="58">
        <f>6117+48</f>
        <v>6165</v>
      </c>
      <c r="J41" s="12">
        <v>3851</v>
      </c>
    </row>
    <row r="42" spans="1:10">
      <c r="A42" t="s">
        <v>968</v>
      </c>
      <c r="B42">
        <v>37400</v>
      </c>
      <c r="D42" s="58">
        <v>0</v>
      </c>
      <c r="E42" s="58">
        <v>350</v>
      </c>
      <c r="F42" s="58">
        <v>0</v>
      </c>
      <c r="G42" s="58">
        <v>0</v>
      </c>
      <c r="H42" s="60">
        <v>0</v>
      </c>
      <c r="I42" s="58">
        <v>0</v>
      </c>
      <c r="J42" s="12">
        <v>0</v>
      </c>
    </row>
    <row r="43" spans="1:10">
      <c r="A43" t="s">
        <v>59</v>
      </c>
      <c r="B43">
        <v>39000</v>
      </c>
      <c r="D43" s="58">
        <v>130000</v>
      </c>
      <c r="E43" s="58">
        <v>1097000</v>
      </c>
      <c r="F43" s="58">
        <v>110000</v>
      </c>
      <c r="G43" s="58">
        <v>100000</v>
      </c>
      <c r="H43" s="58">
        <v>100000</v>
      </c>
      <c r="I43" s="61">
        <v>100000</v>
      </c>
      <c r="J43" s="12">
        <v>200010</v>
      </c>
    </row>
    <row r="44" spans="1:10">
      <c r="A44" t="s">
        <v>59</v>
      </c>
      <c r="B44">
        <v>39000</v>
      </c>
      <c r="D44" s="58">
        <v>0</v>
      </c>
      <c r="E44" s="58">
        <v>0</v>
      </c>
      <c r="F44" s="58">
        <v>0</v>
      </c>
      <c r="G44" s="58">
        <v>15000</v>
      </c>
      <c r="H44" s="58">
        <v>0</v>
      </c>
      <c r="I44" s="61">
        <v>0</v>
      </c>
      <c r="J44" s="12">
        <v>55800</v>
      </c>
    </row>
    <row r="45" spans="1:10">
      <c r="A45" t="s">
        <v>60</v>
      </c>
      <c r="B45">
        <v>39500</v>
      </c>
      <c r="D45" s="58">
        <v>0</v>
      </c>
      <c r="E45" s="58">
        <v>0</v>
      </c>
      <c r="F45" s="58">
        <v>0</v>
      </c>
      <c r="G45" s="58">
        <v>0</v>
      </c>
      <c r="H45" s="58">
        <v>0</v>
      </c>
      <c r="I45" s="58">
        <v>0</v>
      </c>
      <c r="J45" s="12">
        <f>21+607</f>
        <v>628</v>
      </c>
    </row>
    <row r="46" spans="1:10">
      <c r="D46" s="57">
        <f t="shared" ref="D46" si="0">SUM(D3:D45)</f>
        <v>1035050</v>
      </c>
      <c r="E46" s="57">
        <f t="shared" ref="E46:J46" si="1">SUM(E3:E45)</f>
        <v>2014722</v>
      </c>
      <c r="F46" s="57">
        <f t="shared" si="1"/>
        <v>973886</v>
      </c>
      <c r="G46" s="57">
        <f t="shared" si="1"/>
        <v>1012066</v>
      </c>
      <c r="H46" s="57">
        <f t="shared" si="1"/>
        <v>1018855</v>
      </c>
      <c r="I46" s="60">
        <f t="shared" si="1"/>
        <v>968346.06</v>
      </c>
      <c r="J46" s="12">
        <f t="shared" si="1"/>
        <v>1135141.48</v>
      </c>
    </row>
    <row r="47" spans="1:10">
      <c r="A47" s="19"/>
      <c r="I47" s="17"/>
      <c r="J47" s="12"/>
    </row>
    <row r="48" spans="1:10">
      <c r="H48" s="12"/>
    </row>
  </sheetData>
  <phoneticPr fontId="2" type="noConversion"/>
  <pageMargins left="0.25" right="0.25" top="0.75" bottom="0.75" header="0.3" footer="0.3"/>
  <pageSetup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dimension ref="A1:L32"/>
  <sheetViews>
    <sheetView workbookViewId="0">
      <selection activeCell="E13" sqref="E13"/>
    </sheetView>
  </sheetViews>
  <sheetFormatPr defaultRowHeight="12.75"/>
  <cols>
    <col min="1" max="1" width="18.42578125" customWidth="1"/>
    <col min="2" max="2" width="27.42578125" customWidth="1"/>
    <col min="3" max="3" width="5.7109375" customWidth="1"/>
    <col min="4" max="4" width="11.7109375" customWidth="1"/>
    <col min="5" max="7" width="10.7109375" customWidth="1"/>
    <col min="8" max="8" width="11.140625" customWidth="1"/>
    <col min="9" max="10" width="10.7109375" customWidth="1"/>
  </cols>
  <sheetData>
    <row r="1" spans="1:10" ht="15.75">
      <c r="B1" s="20" t="s">
        <v>952</v>
      </c>
      <c r="D1" s="21">
        <v>2013</v>
      </c>
      <c r="E1" s="74">
        <v>2012</v>
      </c>
      <c r="F1" s="74">
        <v>2011</v>
      </c>
      <c r="G1" s="24">
        <v>2010</v>
      </c>
      <c r="H1" s="74">
        <v>2009</v>
      </c>
      <c r="I1" s="24">
        <v>2008</v>
      </c>
      <c r="J1" s="24">
        <v>2007</v>
      </c>
    </row>
    <row r="2" spans="1:10">
      <c r="D2" s="24" t="s">
        <v>676</v>
      </c>
      <c r="E2" s="74" t="s">
        <v>677</v>
      </c>
      <c r="F2" s="74" t="s">
        <v>677</v>
      </c>
      <c r="G2" s="74" t="s">
        <v>677</v>
      </c>
      <c r="H2" s="74" t="s">
        <v>677</v>
      </c>
      <c r="I2" s="25" t="s">
        <v>677</v>
      </c>
      <c r="J2" s="25" t="s">
        <v>677</v>
      </c>
    </row>
    <row r="3" spans="1:10">
      <c r="E3" t="s">
        <v>953</v>
      </c>
    </row>
    <row r="4" spans="1:10">
      <c r="A4" t="s">
        <v>658</v>
      </c>
    </row>
    <row r="5" spans="1:10">
      <c r="A5" t="s">
        <v>108</v>
      </c>
    </row>
    <row r="6" spans="1:10">
      <c r="B6" t="s">
        <v>107</v>
      </c>
      <c r="I6" s="12"/>
      <c r="J6" s="12"/>
    </row>
    <row r="7" spans="1:10">
      <c r="B7" t="s">
        <v>255</v>
      </c>
      <c r="D7" s="12">
        <v>90000</v>
      </c>
      <c r="E7" s="12">
        <v>70000</v>
      </c>
      <c r="F7" s="12">
        <v>65000</v>
      </c>
      <c r="G7" s="12">
        <v>60000</v>
      </c>
      <c r="H7" s="14">
        <v>60000</v>
      </c>
      <c r="I7" s="12">
        <v>55000</v>
      </c>
      <c r="J7" s="12">
        <v>60000</v>
      </c>
    </row>
    <row r="8" spans="1:10">
      <c r="B8" t="s">
        <v>256</v>
      </c>
      <c r="D8" s="12">
        <v>43678</v>
      </c>
      <c r="E8" s="12">
        <v>38106.25</v>
      </c>
      <c r="F8" s="12">
        <v>77716</v>
      </c>
      <c r="G8" s="12">
        <v>80568.759999999995</v>
      </c>
      <c r="H8" s="14">
        <v>83269</v>
      </c>
      <c r="I8" s="12">
        <v>43478</v>
      </c>
      <c r="J8" s="12">
        <v>88231</v>
      </c>
    </row>
    <row r="9" spans="1:10">
      <c r="B9" t="s">
        <v>257</v>
      </c>
      <c r="D9" s="12"/>
      <c r="E9" s="12"/>
      <c r="F9" s="12"/>
      <c r="G9" s="12"/>
      <c r="H9" s="14"/>
      <c r="I9" s="12"/>
      <c r="J9" s="12"/>
    </row>
    <row r="10" spans="1:10">
      <c r="B10" t="s">
        <v>258</v>
      </c>
      <c r="D10" s="12"/>
      <c r="E10" s="12"/>
      <c r="F10" s="12"/>
      <c r="G10" s="12"/>
      <c r="H10" s="14"/>
      <c r="I10" s="12"/>
      <c r="J10" s="12"/>
    </row>
    <row r="11" spans="1:10">
      <c r="B11" t="s">
        <v>259</v>
      </c>
      <c r="D11" s="12">
        <v>200</v>
      </c>
      <c r="E11" s="12">
        <v>431.25</v>
      </c>
      <c r="F11" s="12"/>
      <c r="G11" s="12">
        <v>200</v>
      </c>
      <c r="H11" s="14"/>
      <c r="I11" s="12"/>
      <c r="J11" s="12"/>
    </row>
    <row r="12" spans="1:10">
      <c r="D12" s="12"/>
      <c r="E12" s="12"/>
      <c r="F12" s="12"/>
      <c r="G12" s="12"/>
      <c r="H12" s="14"/>
      <c r="I12" s="12"/>
      <c r="J12" s="12"/>
    </row>
    <row r="13" spans="1:10">
      <c r="B13" s="38" t="s">
        <v>77</v>
      </c>
      <c r="D13" s="12">
        <f>SUM(D7:D11)</f>
        <v>133878</v>
      </c>
      <c r="E13" s="12">
        <f>SUM(E7:E12)</f>
        <v>108537.5</v>
      </c>
      <c r="F13" s="12">
        <f>SUM(F7:F12)</f>
        <v>142716</v>
      </c>
      <c r="G13" s="12">
        <f>SUM(G7:G12)</f>
        <v>140768.76</v>
      </c>
      <c r="H13" s="14">
        <f>SUM(H7:H12)</f>
        <v>143269</v>
      </c>
      <c r="I13" s="57">
        <f>SUM(I7:I11)</f>
        <v>98478</v>
      </c>
      <c r="J13" s="12">
        <f>SUM(J6:J11)</f>
        <v>148231</v>
      </c>
    </row>
    <row r="14" spans="1:10">
      <c r="D14" s="12"/>
      <c r="E14" s="12"/>
      <c r="F14" s="12"/>
      <c r="G14" s="12"/>
      <c r="H14" s="14"/>
      <c r="I14" s="58"/>
      <c r="J14" s="12"/>
    </row>
    <row r="15" spans="1:10">
      <c r="A15" t="s">
        <v>106</v>
      </c>
      <c r="D15" s="12"/>
      <c r="E15" s="12"/>
      <c r="F15" s="12"/>
      <c r="G15" s="12"/>
      <c r="H15" s="14"/>
      <c r="I15" s="58"/>
      <c r="J15" s="12"/>
    </row>
    <row r="16" spans="1:10">
      <c r="B16" t="s">
        <v>260</v>
      </c>
      <c r="D16" s="86">
        <v>122000</v>
      </c>
      <c r="E16" s="86"/>
      <c r="F16" s="86">
        <v>100292</v>
      </c>
      <c r="G16" s="86">
        <v>57500</v>
      </c>
      <c r="H16" s="88">
        <v>57500</v>
      </c>
      <c r="I16" s="87">
        <v>57500</v>
      </c>
      <c r="J16" s="12">
        <v>0</v>
      </c>
    </row>
    <row r="17" spans="1:12">
      <c r="B17" s="41" t="s">
        <v>896</v>
      </c>
      <c r="D17" s="113">
        <v>0</v>
      </c>
      <c r="E17" s="113">
        <v>122380.4</v>
      </c>
      <c r="F17" s="113">
        <v>0</v>
      </c>
      <c r="G17" s="113">
        <v>0</v>
      </c>
      <c r="H17" s="114">
        <v>0</v>
      </c>
      <c r="I17" s="60">
        <v>0</v>
      </c>
      <c r="J17" s="113">
        <v>0</v>
      </c>
    </row>
    <row r="18" spans="1:12">
      <c r="B18" t="s">
        <v>263</v>
      </c>
      <c r="D18" s="12">
        <v>11878</v>
      </c>
      <c r="E18" s="12">
        <v>0</v>
      </c>
      <c r="F18" s="12">
        <f>16133+104</f>
        <v>16237</v>
      </c>
      <c r="G18" s="12">
        <v>76500</v>
      </c>
      <c r="H18" s="14">
        <v>95614</v>
      </c>
      <c r="I18" s="57">
        <v>98478</v>
      </c>
      <c r="J18" s="12">
        <f>3534+144722</f>
        <v>148256</v>
      </c>
    </row>
    <row r="19" spans="1:12">
      <c r="D19" s="12"/>
      <c r="E19" s="12"/>
      <c r="F19" s="12"/>
      <c r="G19" s="12"/>
      <c r="H19" s="14"/>
      <c r="I19" s="58"/>
      <c r="J19" s="12"/>
    </row>
    <row r="20" spans="1:12">
      <c r="B20" s="38" t="s">
        <v>77</v>
      </c>
      <c r="D20" s="12">
        <f>SUM(D16:D19)</f>
        <v>133878</v>
      </c>
      <c r="E20" s="12">
        <f>SUM(E16:E19)</f>
        <v>122380.4</v>
      </c>
      <c r="F20" s="12">
        <f>SUM(F16:F19)</f>
        <v>116529</v>
      </c>
      <c r="G20" s="12">
        <f>SUM(G16:G19)</f>
        <v>134000</v>
      </c>
      <c r="H20" s="34">
        <f>SUM(H16:H19)</f>
        <v>153114</v>
      </c>
      <c r="I20" s="57">
        <f>SUM(I16:I18)</f>
        <v>155978</v>
      </c>
      <c r="J20" s="12">
        <f>SUM(J16:J18)</f>
        <v>148256</v>
      </c>
    </row>
    <row r="21" spans="1:12">
      <c r="H21" s="14"/>
      <c r="I21" s="12"/>
      <c r="J21" s="12"/>
    </row>
    <row r="22" spans="1:12">
      <c r="A22" s="19"/>
      <c r="H22" s="12"/>
    </row>
    <row r="27" spans="1:12">
      <c r="E27" s="19"/>
      <c r="F27" s="19"/>
    </row>
    <row r="28" spans="1:12">
      <c r="E28" s="19"/>
      <c r="F28" s="19"/>
    </row>
    <row r="29" spans="1:12">
      <c r="E29" s="37"/>
      <c r="F29" s="37"/>
    </row>
    <row r="32" spans="1:12">
      <c r="L32" s="41"/>
    </row>
  </sheetData>
  <phoneticPr fontId="2" type="noConversion"/>
  <pageMargins left="0.25" right="0.25" top="0.75" bottom="0.75" header="0.3" footer="0.3"/>
  <pageSetup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dimension ref="A1:K31"/>
  <sheetViews>
    <sheetView workbookViewId="0">
      <selection activeCell="E22" sqref="E22"/>
    </sheetView>
  </sheetViews>
  <sheetFormatPr defaultRowHeight="12.75"/>
  <cols>
    <col min="1" max="1" width="18.140625" customWidth="1"/>
    <col min="2" max="2" width="28.5703125" customWidth="1"/>
    <col min="3" max="3" width="5.7109375" customWidth="1"/>
    <col min="4" max="6" width="11.7109375" customWidth="1"/>
    <col min="7" max="10" width="10.7109375" customWidth="1"/>
  </cols>
  <sheetData>
    <row r="1" spans="1:10" ht="15.75">
      <c r="B1" s="20" t="s">
        <v>895</v>
      </c>
      <c r="D1" s="21">
        <v>2013</v>
      </c>
      <c r="E1" s="74">
        <v>2012</v>
      </c>
      <c r="F1" s="74">
        <v>2011</v>
      </c>
      <c r="G1" s="24">
        <v>2010</v>
      </c>
      <c r="H1" s="74">
        <v>2009</v>
      </c>
      <c r="I1" s="24">
        <v>2008</v>
      </c>
      <c r="J1" s="24">
        <v>2007</v>
      </c>
    </row>
    <row r="2" spans="1:10">
      <c r="D2" s="24" t="s">
        <v>676</v>
      </c>
      <c r="E2" s="74" t="s">
        <v>677</v>
      </c>
      <c r="F2" s="74" t="s">
        <v>677</v>
      </c>
      <c r="G2" s="74" t="s">
        <v>677</v>
      </c>
      <c r="H2" s="74" t="s">
        <v>677</v>
      </c>
      <c r="I2" s="25" t="s">
        <v>677</v>
      </c>
      <c r="J2" s="25" t="s">
        <v>677</v>
      </c>
    </row>
    <row r="4" spans="1:10">
      <c r="A4" t="s">
        <v>658</v>
      </c>
    </row>
    <row r="5" spans="1:10">
      <c r="A5" t="s">
        <v>108</v>
      </c>
    </row>
    <row r="6" spans="1:10">
      <c r="B6" t="s">
        <v>107</v>
      </c>
    </row>
    <row r="7" spans="1:10">
      <c r="B7" t="s">
        <v>255</v>
      </c>
      <c r="D7" s="12">
        <v>20000</v>
      </c>
      <c r="E7" s="12">
        <v>20000</v>
      </c>
      <c r="F7" s="12">
        <v>15000</v>
      </c>
      <c r="G7" s="12">
        <v>15000</v>
      </c>
      <c r="H7" s="14">
        <v>10000</v>
      </c>
      <c r="I7" s="12"/>
      <c r="J7" s="12"/>
    </row>
    <row r="8" spans="1:10">
      <c r="B8" t="s">
        <v>256</v>
      </c>
      <c r="D8" s="12">
        <v>15055</v>
      </c>
      <c r="E8" s="12">
        <v>15815</v>
      </c>
      <c r="F8" s="12">
        <v>16480</v>
      </c>
      <c r="G8" s="12">
        <v>17050</v>
      </c>
      <c r="H8" s="14">
        <v>17525</v>
      </c>
      <c r="I8" s="12">
        <v>14762.5</v>
      </c>
      <c r="J8" s="12"/>
    </row>
    <row r="9" spans="1:10">
      <c r="B9" t="s">
        <v>257</v>
      </c>
      <c r="D9" s="12"/>
      <c r="E9" s="12"/>
      <c r="F9" s="12"/>
      <c r="G9" s="12">
        <v>431</v>
      </c>
      <c r="H9" s="14">
        <v>431</v>
      </c>
      <c r="I9" s="12">
        <v>431</v>
      </c>
      <c r="J9" s="12"/>
    </row>
    <row r="10" spans="1:10">
      <c r="B10" t="s">
        <v>258</v>
      </c>
      <c r="D10" s="12"/>
      <c r="E10" s="12"/>
      <c r="F10" s="12"/>
      <c r="G10" s="12"/>
      <c r="H10" s="14">
        <v>0</v>
      </c>
      <c r="I10" s="12"/>
      <c r="J10" s="12"/>
    </row>
    <row r="11" spans="1:10">
      <c r="B11" t="s">
        <v>259</v>
      </c>
      <c r="D11" s="12">
        <v>140</v>
      </c>
      <c r="E11" s="12">
        <v>569.75</v>
      </c>
      <c r="F11" s="12">
        <v>570</v>
      </c>
      <c r="G11" s="12">
        <v>125</v>
      </c>
      <c r="H11" s="14">
        <v>140</v>
      </c>
      <c r="I11" s="12">
        <v>19</v>
      </c>
      <c r="J11" s="12">
        <v>450</v>
      </c>
    </row>
    <row r="12" spans="1:10">
      <c r="D12" s="12"/>
      <c r="E12" s="58"/>
      <c r="F12" s="58"/>
      <c r="G12" s="58"/>
      <c r="H12" s="71"/>
      <c r="I12" s="58"/>
      <c r="J12" s="12"/>
    </row>
    <row r="13" spans="1:10">
      <c r="B13" s="38" t="s">
        <v>77</v>
      </c>
      <c r="D13" s="12">
        <f>SUM(D7:D11)</f>
        <v>35195</v>
      </c>
      <c r="E13" s="58">
        <f>SUM(E7:E12)</f>
        <v>36384.75</v>
      </c>
      <c r="F13" s="58">
        <f>SUM(F7:F12)</f>
        <v>32050</v>
      </c>
      <c r="G13" s="58">
        <f>SUM(G7:G12)</f>
        <v>32606</v>
      </c>
      <c r="H13" s="71">
        <f>SUM(H7:H12)</f>
        <v>28096</v>
      </c>
      <c r="I13" s="57">
        <f>SUM(I7:I11)</f>
        <v>15212.5</v>
      </c>
      <c r="J13" s="12"/>
    </row>
    <row r="14" spans="1:10">
      <c r="D14" s="12"/>
      <c r="E14" s="12"/>
      <c r="F14" s="12"/>
      <c r="G14" s="58"/>
      <c r="H14" s="71"/>
      <c r="I14" s="58"/>
      <c r="J14" s="12"/>
    </row>
    <row r="15" spans="1:10">
      <c r="A15" t="s">
        <v>106</v>
      </c>
      <c r="D15" s="12"/>
      <c r="E15" s="30"/>
      <c r="F15" s="30"/>
      <c r="G15" s="58"/>
      <c r="H15" s="71"/>
      <c r="I15" s="58"/>
      <c r="J15" s="12"/>
    </row>
    <row r="16" spans="1:10">
      <c r="B16" t="s">
        <v>260</v>
      </c>
      <c r="D16" s="12"/>
      <c r="F16" s="86">
        <v>7083</v>
      </c>
      <c r="G16" s="58"/>
      <c r="H16" s="71"/>
      <c r="I16" s="58"/>
      <c r="J16" s="12"/>
    </row>
    <row r="17" spans="1:11">
      <c r="B17" t="s">
        <v>925</v>
      </c>
      <c r="D17" s="86">
        <f>35195-(1143+19214)</f>
        <v>14838</v>
      </c>
      <c r="E17" s="86"/>
      <c r="F17" s="72">
        <v>5753</v>
      </c>
      <c r="G17" s="72"/>
      <c r="H17" s="70"/>
      <c r="I17" s="70"/>
      <c r="J17" s="12"/>
    </row>
    <row r="18" spans="1:11">
      <c r="B18" t="s">
        <v>261</v>
      </c>
      <c r="D18" s="12">
        <f>571.27*2</f>
        <v>1142.54</v>
      </c>
      <c r="E18" s="58">
        <v>0</v>
      </c>
      <c r="F18" s="58">
        <v>0</v>
      </c>
      <c r="G18" s="58">
        <v>0</v>
      </c>
      <c r="H18" s="71">
        <v>0</v>
      </c>
      <c r="I18" s="58">
        <v>7750</v>
      </c>
      <c r="J18" s="12"/>
    </row>
    <row r="19" spans="1:11">
      <c r="B19" s="41" t="s">
        <v>896</v>
      </c>
      <c r="D19" s="12"/>
      <c r="E19" s="58">
        <v>7778.65</v>
      </c>
      <c r="F19" s="58"/>
      <c r="G19" s="58">
        <v>577</v>
      </c>
      <c r="H19" s="71">
        <v>16068.7</v>
      </c>
      <c r="I19" s="58"/>
      <c r="J19" s="12"/>
    </row>
    <row r="20" spans="1:11">
      <c r="B20" t="s">
        <v>262</v>
      </c>
      <c r="D20" s="12">
        <v>19214</v>
      </c>
      <c r="E20" s="58">
        <v>19214.3</v>
      </c>
      <c r="F20" s="58">
        <v>19214</v>
      </c>
      <c r="G20" s="58">
        <v>36941</v>
      </c>
      <c r="H20" s="71">
        <v>10568</v>
      </c>
      <c r="I20" s="58">
        <f>10568*2</f>
        <v>21136</v>
      </c>
      <c r="J20" s="12"/>
    </row>
    <row r="21" spans="1:11">
      <c r="D21" s="12"/>
      <c r="E21" s="58"/>
      <c r="F21" s="58"/>
      <c r="G21" s="58"/>
      <c r="H21" s="71"/>
      <c r="I21" s="58"/>
      <c r="J21" s="12"/>
    </row>
    <row r="22" spans="1:11">
      <c r="B22" s="38" t="s">
        <v>77</v>
      </c>
      <c r="D22" s="12">
        <f>SUM(D17:D21)</f>
        <v>35194.54</v>
      </c>
      <c r="E22" s="58">
        <f>SUM(E17:E21)</f>
        <v>26992.949999999997</v>
      </c>
      <c r="F22" s="58">
        <f>SUM(F16:F21)</f>
        <v>32050</v>
      </c>
      <c r="G22" s="58">
        <f>SUM(G17:G21)</f>
        <v>37518</v>
      </c>
      <c r="H22" s="71">
        <f>SUM(H17:H21)</f>
        <v>26636.7</v>
      </c>
      <c r="I22" s="57">
        <f>SUM(I17:I20)</f>
        <v>28886</v>
      </c>
      <c r="J22" s="12">
        <f>SUM(J17:J20)</f>
        <v>0</v>
      </c>
    </row>
    <row r="23" spans="1:11">
      <c r="H23" s="14"/>
      <c r="I23" s="12"/>
      <c r="J23" s="12"/>
    </row>
    <row r="24" spans="1:11">
      <c r="A24" s="19"/>
    </row>
    <row r="27" spans="1:11">
      <c r="E27" s="19"/>
      <c r="F27" s="19"/>
    </row>
    <row r="28" spans="1:11">
      <c r="E28" s="19"/>
      <c r="F28" s="19"/>
    </row>
    <row r="29" spans="1:11">
      <c r="E29" s="37"/>
      <c r="F29" s="37"/>
    </row>
    <row r="31" spans="1:11">
      <c r="K31" s="41"/>
    </row>
  </sheetData>
  <phoneticPr fontId="2" type="noConversion"/>
  <pageMargins left="0.25" right="0.25" top="0.75" bottom="0.75" header="0.3" footer="0.3"/>
  <pageSetup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dimension ref="A1:L28"/>
  <sheetViews>
    <sheetView workbookViewId="0">
      <selection activeCell="E9" sqref="E9"/>
    </sheetView>
  </sheetViews>
  <sheetFormatPr defaultRowHeight="12.75"/>
  <cols>
    <col min="1" max="1" width="17.7109375" customWidth="1"/>
    <col min="2" max="2" width="28.5703125" customWidth="1"/>
    <col min="3" max="3" width="5.7109375" customWidth="1"/>
    <col min="4" max="4" width="11.7109375" customWidth="1"/>
    <col min="5" max="10" width="10.7109375" customWidth="1"/>
  </cols>
  <sheetData>
    <row r="1" spans="1:12" ht="15.75">
      <c r="B1" s="20" t="s">
        <v>836</v>
      </c>
      <c r="D1" s="21">
        <v>2013</v>
      </c>
      <c r="E1" s="109">
        <v>2012</v>
      </c>
      <c r="F1" s="74">
        <v>2011</v>
      </c>
      <c r="G1" s="24">
        <v>2010</v>
      </c>
      <c r="H1" s="74">
        <v>2009</v>
      </c>
      <c r="I1" s="24">
        <v>2008</v>
      </c>
      <c r="J1" s="24">
        <v>2007</v>
      </c>
    </row>
    <row r="2" spans="1:12">
      <c r="D2" s="24" t="s">
        <v>676</v>
      </c>
      <c r="E2" s="74" t="s">
        <v>677</v>
      </c>
      <c r="F2" s="74" t="s">
        <v>677</v>
      </c>
      <c r="G2" s="74" t="s">
        <v>677</v>
      </c>
      <c r="H2" s="74" t="s">
        <v>677</v>
      </c>
      <c r="I2" s="25" t="s">
        <v>677</v>
      </c>
      <c r="J2" s="25" t="s">
        <v>677</v>
      </c>
    </row>
    <row r="5" spans="1:12">
      <c r="B5" s="19" t="s">
        <v>55</v>
      </c>
      <c r="H5" s="12"/>
      <c r="I5" s="30"/>
      <c r="J5" s="12"/>
    </row>
    <row r="6" spans="1:12">
      <c r="A6" s="19"/>
      <c r="B6" s="19"/>
      <c r="G6" s="12"/>
      <c r="H6" s="19"/>
      <c r="I6" s="12"/>
      <c r="J6" s="12"/>
    </row>
    <row r="7" spans="1:12">
      <c r="A7" s="19"/>
      <c r="B7" s="19"/>
      <c r="G7" s="12"/>
      <c r="H7" s="19"/>
      <c r="I7" s="12"/>
      <c r="J7" s="12"/>
    </row>
    <row r="9" spans="1:12">
      <c r="A9" t="s">
        <v>837</v>
      </c>
      <c r="B9" s="19" t="s">
        <v>798</v>
      </c>
      <c r="D9" s="12">
        <v>2500</v>
      </c>
      <c r="E9" s="30">
        <v>2500</v>
      </c>
      <c r="F9" s="30">
        <v>2500</v>
      </c>
      <c r="G9" s="12">
        <v>2500</v>
      </c>
    </row>
    <row r="10" spans="1:12">
      <c r="G10" s="12"/>
      <c r="H10" s="12"/>
      <c r="I10" s="12"/>
      <c r="J10" s="12"/>
      <c r="L10" s="41"/>
    </row>
    <row r="13" spans="1:12">
      <c r="E13" s="19"/>
      <c r="F13" s="19"/>
    </row>
    <row r="15" spans="1:12">
      <c r="E15" s="19"/>
      <c r="F15" s="19"/>
    </row>
    <row r="17" spans="5:6">
      <c r="E17" s="19"/>
      <c r="F17" s="19"/>
    </row>
    <row r="18" spans="5:6">
      <c r="E18" s="19"/>
      <c r="F18" s="19"/>
    </row>
    <row r="26" spans="5:6">
      <c r="E26" s="19"/>
      <c r="F26" s="19"/>
    </row>
    <row r="27" spans="5:6">
      <c r="E27" s="19"/>
      <c r="F27" s="19"/>
    </row>
    <row r="28" spans="5:6">
      <c r="E28" s="37"/>
      <c r="F28" s="37"/>
    </row>
  </sheetData>
  <pageMargins left="0.25" right="0.25" top="0.75" bottom="0.75" header="0.3" footer="0.3"/>
  <pageSetup orientation="landscape" r:id="rId1"/>
  <headerFooter alignWithMargins="0"/>
</worksheet>
</file>

<file path=xl/worksheets/sheet23.xml><?xml version="1.0" encoding="utf-8"?>
<worksheet xmlns="http://schemas.openxmlformats.org/spreadsheetml/2006/main" xmlns:r="http://schemas.openxmlformats.org/officeDocument/2006/relationships">
  <dimension ref="A1:L28"/>
  <sheetViews>
    <sheetView workbookViewId="0">
      <selection activeCell="E3" sqref="E3"/>
    </sheetView>
  </sheetViews>
  <sheetFormatPr defaultRowHeight="12.75"/>
  <cols>
    <col min="1" max="1" width="17.7109375" customWidth="1"/>
    <col min="2" max="2" width="28.5703125" customWidth="1"/>
    <col min="3" max="3" width="5.7109375" customWidth="1"/>
    <col min="4" max="4" width="11.7109375" customWidth="1"/>
    <col min="5" max="10" width="10.7109375" customWidth="1"/>
  </cols>
  <sheetData>
    <row r="1" spans="1:12" ht="15.75">
      <c r="B1" s="20" t="s">
        <v>835</v>
      </c>
      <c r="D1" s="21">
        <v>2013</v>
      </c>
      <c r="E1" s="74">
        <v>2012</v>
      </c>
      <c r="F1" s="74">
        <v>2011</v>
      </c>
      <c r="G1" s="24">
        <v>2010</v>
      </c>
      <c r="H1" s="74">
        <v>2009</v>
      </c>
      <c r="I1" s="24">
        <v>2008</v>
      </c>
      <c r="J1" s="24">
        <v>2007</v>
      </c>
    </row>
    <row r="2" spans="1:12">
      <c r="D2" s="24" t="s">
        <v>676</v>
      </c>
      <c r="E2" s="74" t="s">
        <v>677</v>
      </c>
      <c r="F2" s="74" t="s">
        <v>677</v>
      </c>
      <c r="G2" s="74" t="s">
        <v>677</v>
      </c>
      <c r="H2" s="74" t="s">
        <v>677</v>
      </c>
      <c r="I2" s="25" t="s">
        <v>677</v>
      </c>
      <c r="J2" s="25" t="s">
        <v>677</v>
      </c>
    </row>
    <row r="5" spans="1:12">
      <c r="B5" s="19" t="s">
        <v>55</v>
      </c>
      <c r="E5" s="12"/>
      <c r="F5" s="12"/>
      <c r="H5" s="12"/>
      <c r="I5" s="30"/>
      <c r="J5" s="12"/>
    </row>
    <row r="6" spans="1:12">
      <c r="A6" s="19"/>
      <c r="B6" s="41" t="s">
        <v>260</v>
      </c>
      <c r="E6" s="12"/>
      <c r="F6" s="12"/>
      <c r="G6" s="68"/>
      <c r="H6" s="19"/>
      <c r="I6" s="12"/>
      <c r="J6" s="12"/>
    </row>
    <row r="7" spans="1:12">
      <c r="A7" s="19"/>
      <c r="B7" s="19"/>
      <c r="E7" s="12"/>
      <c r="F7" s="12"/>
      <c r="G7" s="58"/>
      <c r="H7" s="19"/>
      <c r="I7" s="12"/>
      <c r="J7" s="12"/>
    </row>
    <row r="8" spans="1:12">
      <c r="B8" s="19" t="s">
        <v>798</v>
      </c>
      <c r="E8" s="12"/>
      <c r="F8" s="12"/>
      <c r="G8" s="49"/>
    </row>
    <row r="9" spans="1:12">
      <c r="A9" s="41" t="s">
        <v>818</v>
      </c>
      <c r="B9" s="41" t="s">
        <v>164</v>
      </c>
      <c r="E9" s="30"/>
      <c r="F9" s="30"/>
      <c r="G9" s="57"/>
      <c r="I9" s="12"/>
    </row>
    <row r="10" spans="1:12">
      <c r="A10" s="41" t="s">
        <v>819</v>
      </c>
      <c r="B10" s="41" t="s">
        <v>820</v>
      </c>
      <c r="D10" s="12">
        <v>240</v>
      </c>
      <c r="E10" s="12">
        <f>234.9+1.56</f>
        <v>236.46</v>
      </c>
      <c r="F10" s="12">
        <v>235</v>
      </c>
      <c r="G10" s="57">
        <v>235</v>
      </c>
      <c r="H10" s="12"/>
      <c r="I10" s="12"/>
      <c r="J10" s="12"/>
    </row>
    <row r="11" spans="1:12">
      <c r="D11" s="12"/>
      <c r="E11" s="12"/>
      <c r="F11" s="12"/>
    </row>
    <row r="12" spans="1:12">
      <c r="B12" s="45" t="s">
        <v>77</v>
      </c>
      <c r="D12" s="12">
        <f>SUM(D9:D11)</f>
        <v>240</v>
      </c>
      <c r="E12" s="12">
        <f>SUM(E9:E11)</f>
        <v>236.46</v>
      </c>
      <c r="F12" s="12">
        <f>SUM(F9:F11)</f>
        <v>235</v>
      </c>
      <c r="G12" s="62">
        <f>SUM(G9:G11)</f>
        <v>235</v>
      </c>
      <c r="L12" s="41"/>
    </row>
    <row r="13" spans="1:12">
      <c r="E13" s="19"/>
      <c r="F13" s="19"/>
    </row>
    <row r="15" spans="1:12">
      <c r="E15" s="19"/>
      <c r="F15" s="19"/>
    </row>
    <row r="17" spans="5:6">
      <c r="E17" s="19"/>
      <c r="F17" s="19"/>
    </row>
    <row r="18" spans="5:6">
      <c r="E18" s="19"/>
      <c r="F18" s="19"/>
    </row>
    <row r="26" spans="5:6">
      <c r="E26" s="19"/>
      <c r="F26" s="19"/>
    </row>
    <row r="27" spans="5:6">
      <c r="E27" s="19"/>
      <c r="F27" s="19"/>
    </row>
    <row r="28" spans="5:6">
      <c r="E28" s="37"/>
      <c r="F28" s="37"/>
    </row>
  </sheetData>
  <pageMargins left="0.25" right="0.25" top="0.75" bottom="0.75" header="0.3" footer="0.3"/>
  <pageSetup orientation="landscape" r:id="rId1"/>
  <headerFooter alignWithMargins="0"/>
  <legacyDrawing r:id="rId2"/>
</worksheet>
</file>

<file path=xl/worksheets/sheet24.xml><?xml version="1.0" encoding="utf-8"?>
<worksheet xmlns="http://schemas.openxmlformats.org/spreadsheetml/2006/main" xmlns:r="http://schemas.openxmlformats.org/officeDocument/2006/relationships">
  <dimension ref="A1:G17"/>
  <sheetViews>
    <sheetView tabSelected="1" workbookViewId="0">
      <selection activeCell="A9" sqref="A9"/>
    </sheetView>
  </sheetViews>
  <sheetFormatPr defaultRowHeight="12.75"/>
  <cols>
    <col min="1" max="1" width="18.7109375" customWidth="1"/>
    <col min="2" max="2" width="20.7109375" customWidth="1"/>
    <col min="3" max="3" width="19.7109375" customWidth="1"/>
  </cols>
  <sheetData>
    <row r="1" spans="1:7" ht="15">
      <c r="A1" s="76" t="s">
        <v>901</v>
      </c>
      <c r="B1" s="76" t="s">
        <v>902</v>
      </c>
      <c r="C1" s="76" t="s">
        <v>903</v>
      </c>
      <c r="D1" s="76" t="s">
        <v>68</v>
      </c>
      <c r="E1" s="76" t="s">
        <v>164</v>
      </c>
      <c r="F1" s="76" t="s">
        <v>165</v>
      </c>
      <c r="G1" s="76" t="s">
        <v>168</v>
      </c>
    </row>
    <row r="4" spans="1:7">
      <c r="A4" s="41"/>
      <c r="B4" s="41"/>
      <c r="E4" s="77"/>
      <c r="F4" s="77"/>
      <c r="G4" s="77"/>
    </row>
    <row r="5" spans="1:7">
      <c r="A5" t="s">
        <v>904</v>
      </c>
      <c r="B5" t="s">
        <v>905</v>
      </c>
      <c r="C5" t="s">
        <v>906</v>
      </c>
      <c r="E5" s="77">
        <v>0.5</v>
      </c>
      <c r="F5" s="77">
        <v>0.25</v>
      </c>
      <c r="G5" s="77">
        <v>0.25</v>
      </c>
    </row>
    <row r="6" spans="1:7">
      <c r="A6" t="s">
        <v>904</v>
      </c>
      <c r="B6" t="s">
        <v>907</v>
      </c>
      <c r="C6" t="s">
        <v>908</v>
      </c>
      <c r="F6" s="77">
        <v>0.5</v>
      </c>
      <c r="G6" s="77">
        <v>0.5</v>
      </c>
    </row>
    <row r="7" spans="1:7">
      <c r="A7" t="s">
        <v>911</v>
      </c>
      <c r="B7" t="s">
        <v>909</v>
      </c>
      <c r="C7" t="s">
        <v>910</v>
      </c>
      <c r="E7" s="77">
        <v>1</v>
      </c>
    </row>
    <row r="8" spans="1:7">
      <c r="A8" t="s">
        <v>911</v>
      </c>
      <c r="B8" t="s">
        <v>924</v>
      </c>
      <c r="C8" t="s">
        <v>938</v>
      </c>
      <c r="E8" s="77">
        <v>1</v>
      </c>
    </row>
    <row r="9" spans="1:7">
      <c r="A9" t="s">
        <v>68</v>
      </c>
      <c r="B9" t="s">
        <v>939</v>
      </c>
      <c r="C9" t="s">
        <v>940</v>
      </c>
      <c r="D9" s="77">
        <v>1</v>
      </c>
      <c r="E9" s="77"/>
    </row>
    <row r="17" spans="1:2">
      <c r="A17" s="41"/>
      <c r="B17" s="41"/>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dimension ref="A1:F28"/>
  <sheetViews>
    <sheetView workbookViewId="0">
      <selection activeCell="D14" sqref="D14"/>
    </sheetView>
  </sheetViews>
  <sheetFormatPr defaultRowHeight="12.75"/>
  <cols>
    <col min="1" max="1" width="18.28515625" customWidth="1"/>
    <col min="2" max="2" width="27.42578125" customWidth="1"/>
    <col min="3" max="3" width="3.7109375" customWidth="1"/>
    <col min="4" max="6" width="10.7109375" customWidth="1"/>
  </cols>
  <sheetData>
    <row r="1" spans="1:6" ht="15.75">
      <c r="B1" s="20" t="s">
        <v>649</v>
      </c>
      <c r="C1" s="20"/>
      <c r="D1" s="74">
        <v>2012</v>
      </c>
      <c r="E1" s="74">
        <v>2010</v>
      </c>
      <c r="F1" s="24">
        <v>2008</v>
      </c>
    </row>
    <row r="2" spans="1:6">
      <c r="A2" t="s">
        <v>108</v>
      </c>
      <c r="D2" s="74" t="s">
        <v>677</v>
      </c>
      <c r="E2" s="74" t="s">
        <v>677</v>
      </c>
      <c r="F2" s="25" t="s">
        <v>677</v>
      </c>
    </row>
    <row r="3" spans="1:6">
      <c r="A3" t="s">
        <v>253</v>
      </c>
    </row>
    <row r="4" spans="1:6">
      <c r="A4" t="s">
        <v>238</v>
      </c>
      <c r="B4" t="s">
        <v>239</v>
      </c>
      <c r="D4" s="12">
        <v>1436.5</v>
      </c>
      <c r="E4" s="12">
        <v>1532</v>
      </c>
      <c r="F4" s="12">
        <v>1049</v>
      </c>
    </row>
    <row r="5" spans="1:6">
      <c r="A5" t="s">
        <v>652</v>
      </c>
      <c r="D5" s="12"/>
      <c r="E5" s="12"/>
      <c r="F5" s="12"/>
    </row>
    <row r="6" spans="1:6">
      <c r="A6" t="s">
        <v>240</v>
      </c>
      <c r="B6" t="s">
        <v>251</v>
      </c>
      <c r="D6" s="57">
        <v>0</v>
      </c>
      <c r="E6" s="57">
        <v>0</v>
      </c>
      <c r="F6" s="12">
        <v>12</v>
      </c>
    </row>
    <row r="7" spans="1:6">
      <c r="A7" t="s">
        <v>241</v>
      </c>
      <c r="B7" t="s">
        <v>111</v>
      </c>
      <c r="D7" s="57">
        <v>5.27</v>
      </c>
      <c r="E7" s="57">
        <v>95</v>
      </c>
      <c r="F7" s="12">
        <v>65</v>
      </c>
    </row>
    <row r="8" spans="1:6">
      <c r="A8" t="s">
        <v>74</v>
      </c>
      <c r="B8" t="s">
        <v>113</v>
      </c>
      <c r="D8" s="57">
        <v>1.23</v>
      </c>
      <c r="E8" s="57">
        <v>22</v>
      </c>
      <c r="F8" s="12">
        <v>15</v>
      </c>
    </row>
    <row r="9" spans="1:6">
      <c r="D9" s="58"/>
      <c r="E9" s="58"/>
      <c r="F9" s="12"/>
    </row>
    <row r="10" spans="1:6">
      <c r="A10" s="41" t="s">
        <v>930</v>
      </c>
      <c r="B10" s="41" t="s">
        <v>931</v>
      </c>
      <c r="D10" s="58">
        <v>276.32</v>
      </c>
      <c r="E10" s="58">
        <v>200</v>
      </c>
      <c r="F10" s="12">
        <v>0</v>
      </c>
    </row>
    <row r="11" spans="1:6">
      <c r="A11" t="s">
        <v>141</v>
      </c>
      <c r="D11" s="58"/>
      <c r="E11" s="58"/>
      <c r="F11" s="12"/>
    </row>
    <row r="12" spans="1:6">
      <c r="A12" t="s">
        <v>75</v>
      </c>
      <c r="B12" t="s">
        <v>76</v>
      </c>
      <c r="D12" s="58">
        <v>0</v>
      </c>
      <c r="E12" s="58">
        <v>161</v>
      </c>
      <c r="F12" s="12">
        <v>112</v>
      </c>
    </row>
    <row r="13" spans="1:6">
      <c r="D13" s="58"/>
      <c r="E13" s="58"/>
      <c r="F13" s="12"/>
    </row>
    <row r="14" spans="1:6">
      <c r="B14" s="38" t="s">
        <v>77</v>
      </c>
      <c r="C14" s="38"/>
      <c r="D14" s="57">
        <f>SUM(D4:D13)</f>
        <v>1719.32</v>
      </c>
      <c r="E14" s="57">
        <f>SUM(E4:E13)</f>
        <v>2010</v>
      </c>
      <c r="F14" s="12">
        <f>SUM(F4:F13)</f>
        <v>1253</v>
      </c>
    </row>
    <row r="15" spans="1:6">
      <c r="D15" s="19"/>
    </row>
    <row r="16" spans="1:6">
      <c r="A16" s="19"/>
    </row>
    <row r="17" spans="1:4">
      <c r="D17" s="19"/>
    </row>
    <row r="18" spans="1:4">
      <c r="D18" s="19"/>
    </row>
    <row r="19" spans="1:4" ht="15.75">
      <c r="B19" s="20"/>
      <c r="C19" s="20"/>
    </row>
    <row r="21" spans="1:4">
      <c r="A21" s="41"/>
      <c r="B21" s="41"/>
      <c r="C21" s="41"/>
    </row>
    <row r="22" spans="1:4">
      <c r="A22" s="41"/>
      <c r="B22" s="41"/>
      <c r="C22" s="41"/>
    </row>
    <row r="26" spans="1:4">
      <c r="D26" s="19"/>
    </row>
    <row r="27" spans="1:4">
      <c r="D27" s="19"/>
    </row>
    <row r="28" spans="1:4">
      <c r="D28" s="37"/>
    </row>
  </sheetData>
  <phoneticPr fontId="2" type="noConversion"/>
  <pageMargins left="0.25" right="0.25" top="0.75" bottom="0.75" header="0.3" footer="0.3"/>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L34"/>
  <sheetViews>
    <sheetView zoomScaleNormal="100" workbookViewId="0">
      <selection activeCell="E26" sqref="E26"/>
    </sheetView>
  </sheetViews>
  <sheetFormatPr defaultRowHeight="12.75"/>
  <cols>
    <col min="1" max="1" width="18.28515625" customWidth="1"/>
    <col min="2" max="2" width="27.42578125" customWidth="1"/>
    <col min="3" max="3" width="3.7109375" customWidth="1"/>
    <col min="4" max="4" width="11.7109375" customWidth="1"/>
    <col min="5" max="10" width="10.7109375" customWidth="1"/>
  </cols>
  <sheetData>
    <row r="1" spans="1:12" ht="15.75">
      <c r="B1" s="20" t="s">
        <v>648</v>
      </c>
      <c r="C1" s="20"/>
      <c r="D1" s="21">
        <v>2013</v>
      </c>
      <c r="E1" s="74">
        <v>2012</v>
      </c>
      <c r="F1" s="74">
        <v>2011</v>
      </c>
      <c r="G1" s="24">
        <v>2010</v>
      </c>
      <c r="H1" s="74">
        <v>2009</v>
      </c>
      <c r="I1" s="24">
        <v>2008</v>
      </c>
      <c r="J1" s="24">
        <v>2007</v>
      </c>
    </row>
    <row r="2" spans="1:12">
      <c r="A2" t="s">
        <v>108</v>
      </c>
      <c r="D2" s="74" t="s">
        <v>676</v>
      </c>
      <c r="E2" s="74" t="s">
        <v>677</v>
      </c>
      <c r="F2" s="74" t="s">
        <v>677</v>
      </c>
      <c r="G2" s="74" t="s">
        <v>677</v>
      </c>
      <c r="H2" s="74" t="s">
        <v>677</v>
      </c>
      <c r="I2" s="25" t="s">
        <v>677</v>
      </c>
      <c r="J2" s="25" t="s">
        <v>677</v>
      </c>
    </row>
    <row r="3" spans="1:12">
      <c r="A3" t="s">
        <v>253</v>
      </c>
    </row>
    <row r="4" spans="1:12">
      <c r="A4" t="s">
        <v>109</v>
      </c>
      <c r="B4" t="s">
        <v>131</v>
      </c>
      <c r="D4" s="12">
        <v>5500</v>
      </c>
      <c r="E4" s="12">
        <v>5500</v>
      </c>
      <c r="F4" s="12">
        <v>5500</v>
      </c>
      <c r="G4" s="12">
        <v>5375</v>
      </c>
      <c r="H4" s="12">
        <v>7500</v>
      </c>
      <c r="I4" s="108">
        <v>5500</v>
      </c>
      <c r="J4" s="12">
        <v>5500</v>
      </c>
    </row>
    <row r="5" spans="1:12">
      <c r="A5" t="s">
        <v>652</v>
      </c>
      <c r="D5" s="12"/>
      <c r="E5" s="12"/>
      <c r="F5" s="12"/>
      <c r="G5" s="12"/>
      <c r="H5" s="12"/>
      <c r="I5" s="108"/>
      <c r="J5" s="12"/>
    </row>
    <row r="6" spans="1:12">
      <c r="A6" t="s">
        <v>110</v>
      </c>
      <c r="B6" t="s">
        <v>111</v>
      </c>
      <c r="D6" s="12">
        <f>D4*0.062</f>
        <v>341</v>
      </c>
      <c r="E6" s="12">
        <f>E4*0.062</f>
        <v>341</v>
      </c>
      <c r="F6" s="12">
        <f>F4*0.062</f>
        <v>341</v>
      </c>
      <c r="G6" s="12">
        <v>333</v>
      </c>
      <c r="H6" s="12">
        <v>465</v>
      </c>
      <c r="I6" s="108">
        <v>279</v>
      </c>
      <c r="J6" s="12">
        <v>279</v>
      </c>
    </row>
    <row r="7" spans="1:12">
      <c r="A7" t="s">
        <v>112</v>
      </c>
      <c r="B7" t="s">
        <v>113</v>
      </c>
      <c r="D7" s="12">
        <f>D4*0.0145</f>
        <v>79.75</v>
      </c>
      <c r="E7" s="12">
        <v>79.760000000000005</v>
      </c>
      <c r="F7" s="12">
        <f>F4*0.0145</f>
        <v>79.75</v>
      </c>
      <c r="G7" s="12">
        <v>78</v>
      </c>
      <c r="H7" s="12">
        <v>108</v>
      </c>
      <c r="I7" s="108">
        <v>65</v>
      </c>
      <c r="J7" s="12">
        <v>65</v>
      </c>
    </row>
    <row r="8" spans="1:12">
      <c r="A8" s="19" t="s">
        <v>760</v>
      </c>
      <c r="D8" s="12"/>
      <c r="E8" s="12"/>
      <c r="F8" s="12"/>
      <c r="G8" s="12"/>
      <c r="H8" s="12"/>
      <c r="I8" s="108"/>
      <c r="J8" s="12"/>
    </row>
    <row r="9" spans="1:12">
      <c r="A9" s="19" t="s">
        <v>761</v>
      </c>
      <c r="B9" s="19" t="s">
        <v>762</v>
      </c>
      <c r="C9" s="19"/>
      <c r="D9" s="12">
        <v>0</v>
      </c>
      <c r="E9" s="12">
        <v>0</v>
      </c>
      <c r="F9" s="12">
        <v>0</v>
      </c>
      <c r="G9" s="12">
        <v>0</v>
      </c>
      <c r="H9" s="12">
        <v>5</v>
      </c>
      <c r="I9" s="108">
        <v>201</v>
      </c>
      <c r="J9" s="12">
        <v>0</v>
      </c>
    </row>
    <row r="10" spans="1:12">
      <c r="A10" t="s">
        <v>58</v>
      </c>
      <c r="D10" s="12"/>
      <c r="E10" s="12"/>
      <c r="F10" s="12"/>
      <c r="G10" s="12"/>
      <c r="H10" s="12"/>
      <c r="I10" s="108"/>
      <c r="J10" s="12"/>
    </row>
    <row r="11" spans="1:12">
      <c r="A11" t="s">
        <v>79</v>
      </c>
      <c r="B11" t="s">
        <v>653</v>
      </c>
      <c r="D11" s="57">
        <f>46*106%</f>
        <v>48.760000000000005</v>
      </c>
      <c r="E11" s="57">
        <v>45</v>
      </c>
      <c r="F11" s="57">
        <v>79</v>
      </c>
      <c r="G11" s="57">
        <v>40</v>
      </c>
      <c r="H11" s="58">
        <v>105</v>
      </c>
      <c r="I11" s="56">
        <v>28</v>
      </c>
      <c r="J11" s="12">
        <v>125</v>
      </c>
      <c r="L11" s="7"/>
    </row>
    <row r="12" spans="1:12">
      <c r="A12" s="19" t="s">
        <v>730</v>
      </c>
      <c r="D12" s="58"/>
      <c r="E12" s="58"/>
      <c r="F12" s="58"/>
      <c r="G12" s="58"/>
      <c r="H12" s="58"/>
      <c r="I12" s="57"/>
      <c r="J12" s="12"/>
    </row>
    <row r="13" spans="1:12">
      <c r="A13" s="19" t="s">
        <v>729</v>
      </c>
      <c r="B13" s="19" t="s">
        <v>699</v>
      </c>
      <c r="C13" s="19"/>
      <c r="D13" s="58">
        <v>0</v>
      </c>
      <c r="E13" s="58">
        <v>0</v>
      </c>
      <c r="F13" s="58">
        <f>184+46+145</f>
        <v>375</v>
      </c>
      <c r="G13" s="58">
        <v>87</v>
      </c>
      <c r="H13" s="58">
        <v>0</v>
      </c>
      <c r="I13" s="57">
        <f>15.49+111.25</f>
        <v>126.74</v>
      </c>
      <c r="J13" s="12">
        <v>0</v>
      </c>
    </row>
    <row r="14" spans="1:12">
      <c r="A14" s="41" t="s">
        <v>833</v>
      </c>
      <c r="B14" s="19"/>
      <c r="C14" s="19"/>
      <c r="D14" s="58"/>
      <c r="E14" s="58"/>
      <c r="F14" s="58"/>
      <c r="G14" s="58"/>
      <c r="H14" s="58"/>
      <c r="I14" s="57"/>
      <c r="J14" s="12"/>
    </row>
    <row r="15" spans="1:12">
      <c r="A15" s="41" t="s">
        <v>885</v>
      </c>
      <c r="B15" s="41" t="s">
        <v>15</v>
      </c>
      <c r="C15" s="19"/>
      <c r="D15" s="58">
        <v>14000</v>
      </c>
      <c r="E15" s="58">
        <v>5748.5</v>
      </c>
      <c r="F15" s="58">
        <v>18572</v>
      </c>
      <c r="G15" s="58">
        <v>0</v>
      </c>
      <c r="H15" s="58">
        <v>0</v>
      </c>
      <c r="I15" s="57">
        <v>0</v>
      </c>
      <c r="J15" s="12">
        <v>0</v>
      </c>
    </row>
    <row r="16" spans="1:12">
      <c r="A16" s="19" t="s">
        <v>193</v>
      </c>
      <c r="D16" s="58"/>
      <c r="E16" s="58"/>
      <c r="F16" s="58"/>
      <c r="G16" s="58"/>
      <c r="H16" s="58"/>
      <c r="I16" s="57"/>
      <c r="J16" s="12"/>
    </row>
    <row r="17" spans="1:10">
      <c r="A17" s="19" t="s">
        <v>726</v>
      </c>
      <c r="B17" s="19" t="s">
        <v>195</v>
      </c>
      <c r="C17" s="19"/>
      <c r="D17" s="58">
        <v>300</v>
      </c>
      <c r="E17" s="58">
        <v>347.6</v>
      </c>
      <c r="F17" s="58">
        <v>240</v>
      </c>
      <c r="G17" s="58">
        <v>0</v>
      </c>
      <c r="H17" s="58">
        <v>110</v>
      </c>
      <c r="I17" s="57">
        <v>8</v>
      </c>
      <c r="J17" s="12">
        <v>158</v>
      </c>
    </row>
    <row r="18" spans="1:10">
      <c r="A18" s="41" t="s">
        <v>186</v>
      </c>
      <c r="B18" s="19"/>
      <c r="C18" s="19"/>
      <c r="D18" s="58"/>
      <c r="E18" s="58"/>
      <c r="F18" s="58"/>
      <c r="G18" s="58"/>
      <c r="H18" s="58"/>
      <c r="I18" s="57"/>
      <c r="J18" s="12"/>
    </row>
    <row r="19" spans="1:10">
      <c r="A19" s="41" t="s">
        <v>912</v>
      </c>
      <c r="B19" s="41" t="s">
        <v>191</v>
      </c>
      <c r="C19" s="19"/>
      <c r="D19" s="26">
        <v>0</v>
      </c>
      <c r="E19" s="26">
        <v>0</v>
      </c>
      <c r="F19" s="26">
        <v>0</v>
      </c>
      <c r="G19" s="58">
        <v>0</v>
      </c>
      <c r="H19" s="58">
        <v>0</v>
      </c>
      <c r="I19" s="57">
        <v>0</v>
      </c>
      <c r="J19" s="12">
        <v>0</v>
      </c>
    </row>
    <row r="20" spans="1:10">
      <c r="A20" s="19" t="s">
        <v>180</v>
      </c>
      <c r="D20" s="58"/>
      <c r="E20" s="58"/>
      <c r="F20" s="58"/>
      <c r="G20" s="58"/>
      <c r="H20" s="58"/>
      <c r="I20" s="57"/>
      <c r="J20" s="12"/>
    </row>
    <row r="21" spans="1:10">
      <c r="A21" s="19" t="s">
        <v>727</v>
      </c>
      <c r="B21" s="19" t="s">
        <v>731</v>
      </c>
      <c r="C21" s="19"/>
      <c r="D21" s="58">
        <v>0</v>
      </c>
      <c r="E21" s="58">
        <v>0</v>
      </c>
      <c r="F21" s="58">
        <v>0</v>
      </c>
      <c r="G21" s="58">
        <v>42</v>
      </c>
      <c r="H21" s="60">
        <v>0</v>
      </c>
      <c r="I21" s="57">
        <v>0</v>
      </c>
      <c r="J21" s="12">
        <v>30</v>
      </c>
    </row>
    <row r="22" spans="1:10">
      <c r="A22" s="19" t="s">
        <v>728</v>
      </c>
      <c r="B22" s="19" t="s">
        <v>183</v>
      </c>
      <c r="C22" s="19"/>
      <c r="D22" s="58">
        <v>183</v>
      </c>
      <c r="E22" s="58">
        <v>0</v>
      </c>
      <c r="F22" s="58">
        <v>70</v>
      </c>
      <c r="G22" s="58">
        <v>0</v>
      </c>
      <c r="H22" s="60">
        <v>0</v>
      </c>
      <c r="I22" s="57">
        <v>0</v>
      </c>
      <c r="J22" s="12">
        <v>120</v>
      </c>
    </row>
    <row r="23" spans="1:10">
      <c r="A23" t="s">
        <v>173</v>
      </c>
      <c r="D23" s="58"/>
      <c r="E23" s="58"/>
      <c r="F23" s="58"/>
      <c r="G23" s="58"/>
      <c r="H23" s="58"/>
      <c r="I23" s="57"/>
      <c r="J23" s="12"/>
    </row>
    <row r="24" spans="1:10">
      <c r="A24" t="s">
        <v>114</v>
      </c>
      <c r="B24" t="s">
        <v>115</v>
      </c>
      <c r="D24" s="58">
        <f>2932*110%</f>
        <v>3225.2000000000003</v>
      </c>
      <c r="E24" s="58">
        <v>2932.5</v>
      </c>
      <c r="F24" s="58">
        <v>2525</v>
      </c>
      <c r="G24" s="58">
        <v>2364</v>
      </c>
      <c r="H24" s="58">
        <v>2309</v>
      </c>
      <c r="I24" s="57">
        <v>2593</v>
      </c>
      <c r="J24" s="12">
        <v>2000</v>
      </c>
    </row>
    <row r="25" spans="1:10">
      <c r="A25" t="s">
        <v>141</v>
      </c>
      <c r="D25" s="58"/>
      <c r="E25" s="58"/>
      <c r="F25" s="58"/>
      <c r="G25" s="58"/>
      <c r="H25" s="58"/>
      <c r="I25" s="57"/>
      <c r="J25" s="12"/>
    </row>
    <row r="26" spans="1:10">
      <c r="A26" t="s">
        <v>116</v>
      </c>
      <c r="B26" t="s">
        <v>124</v>
      </c>
      <c r="D26" s="58">
        <v>0</v>
      </c>
      <c r="E26" s="58">
        <v>95</v>
      </c>
      <c r="F26" s="58">
        <v>55</v>
      </c>
      <c r="G26" s="58">
        <v>0</v>
      </c>
      <c r="H26" s="60">
        <v>110</v>
      </c>
      <c r="I26" s="57">
        <v>32</v>
      </c>
      <c r="J26" s="12">
        <v>265</v>
      </c>
    </row>
    <row r="27" spans="1:10">
      <c r="A27" t="s">
        <v>117</v>
      </c>
      <c r="B27" t="s">
        <v>822</v>
      </c>
      <c r="D27" s="58">
        <v>0</v>
      </c>
      <c r="E27" s="58">
        <v>0</v>
      </c>
      <c r="F27" s="58">
        <v>19</v>
      </c>
      <c r="G27" s="58">
        <v>0</v>
      </c>
      <c r="H27" s="60">
        <v>0</v>
      </c>
      <c r="I27" s="57">
        <v>0</v>
      </c>
      <c r="J27" s="12">
        <v>0</v>
      </c>
    </row>
    <row r="28" spans="1:10">
      <c r="A28" s="19" t="s">
        <v>687</v>
      </c>
      <c r="B28" t="s">
        <v>796</v>
      </c>
      <c r="D28" s="58">
        <v>2200</v>
      </c>
      <c r="E28" s="58">
        <v>2751.6</v>
      </c>
      <c r="F28" s="58">
        <v>2655</v>
      </c>
      <c r="G28" s="58">
        <v>1429</v>
      </c>
      <c r="H28" s="60">
        <v>1544</v>
      </c>
      <c r="I28" s="57">
        <v>60</v>
      </c>
      <c r="J28" s="12">
        <v>99</v>
      </c>
    </row>
    <row r="29" spans="1:10">
      <c r="A29" t="s">
        <v>118</v>
      </c>
      <c r="B29" t="s">
        <v>125</v>
      </c>
      <c r="D29" s="58">
        <v>5000</v>
      </c>
      <c r="E29" s="58">
        <v>0</v>
      </c>
      <c r="F29" s="58">
        <v>9930</v>
      </c>
      <c r="G29" s="58">
        <v>0</v>
      </c>
      <c r="H29" s="60">
        <f>50+40</f>
        <v>90</v>
      </c>
      <c r="I29" s="57">
        <v>568</v>
      </c>
      <c r="J29" s="12">
        <v>50</v>
      </c>
    </row>
    <row r="30" spans="1:10">
      <c r="A30" s="19" t="s">
        <v>725</v>
      </c>
      <c r="B30" s="19" t="s">
        <v>795</v>
      </c>
      <c r="C30" s="19"/>
      <c r="D30" s="58">
        <v>5400</v>
      </c>
      <c r="E30" s="58">
        <v>5800</v>
      </c>
      <c r="F30" s="58">
        <v>1000</v>
      </c>
      <c r="G30" s="57">
        <v>6000</v>
      </c>
      <c r="H30" s="58">
        <v>3610</v>
      </c>
      <c r="I30" s="57">
        <v>2000</v>
      </c>
      <c r="J30" s="12">
        <v>0</v>
      </c>
    </row>
    <row r="31" spans="1:10">
      <c r="A31" s="19"/>
      <c r="B31" s="19"/>
      <c r="C31" s="19"/>
      <c r="D31" s="58"/>
      <c r="E31" s="58"/>
      <c r="F31" s="58"/>
      <c r="G31" s="58"/>
      <c r="H31" s="58"/>
      <c r="I31" s="57"/>
      <c r="J31" s="12"/>
    </row>
    <row r="32" spans="1:10">
      <c r="A32" s="49"/>
      <c r="B32" s="37" t="s">
        <v>77</v>
      </c>
      <c r="C32" s="37"/>
      <c r="D32" s="62">
        <f t="shared" ref="D32:I32" si="0">SUM(D4:D31)</f>
        <v>36277.710000000006</v>
      </c>
      <c r="E32" s="62">
        <f t="shared" si="0"/>
        <v>23640.959999999999</v>
      </c>
      <c r="F32" s="62">
        <f t="shared" si="0"/>
        <v>41440.75</v>
      </c>
      <c r="G32" s="62">
        <f t="shared" si="0"/>
        <v>15748</v>
      </c>
      <c r="H32" s="58">
        <f t="shared" si="0"/>
        <v>15956</v>
      </c>
      <c r="I32" s="57">
        <f t="shared" si="0"/>
        <v>11460.74</v>
      </c>
      <c r="J32" s="12">
        <f>SUM(J4:J30)</f>
        <v>8691</v>
      </c>
    </row>
    <row r="33" spans="1:9">
      <c r="A33" s="59"/>
      <c r="G33" s="49"/>
      <c r="H33" s="49"/>
      <c r="I33" s="49"/>
    </row>
    <row r="34" spans="1:9">
      <c r="A34" s="49"/>
    </row>
  </sheetData>
  <phoneticPr fontId="2" type="noConversion"/>
  <pageMargins left="0.25" right="0.25" top="0.75" bottom="0.75" header="0.3" footer="0.3"/>
  <pageSetup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J83"/>
  <sheetViews>
    <sheetView topLeftCell="A52" zoomScaleNormal="100" workbookViewId="0">
      <selection activeCell="J71" sqref="J71"/>
    </sheetView>
  </sheetViews>
  <sheetFormatPr defaultRowHeight="12.75"/>
  <cols>
    <col min="1" max="1" width="18.28515625" customWidth="1"/>
    <col min="2" max="2" width="27.5703125" customWidth="1"/>
    <col min="3" max="3" width="3.7109375" customWidth="1"/>
    <col min="4" max="6" width="11.7109375" customWidth="1"/>
    <col min="7" max="10" width="10.7109375" customWidth="1"/>
  </cols>
  <sheetData>
    <row r="1" spans="1:10" ht="15.75">
      <c r="B1" s="20" t="s">
        <v>647</v>
      </c>
      <c r="D1" s="21">
        <v>2013</v>
      </c>
      <c r="E1" s="74">
        <v>2012</v>
      </c>
      <c r="F1" s="74">
        <v>2011</v>
      </c>
      <c r="G1" s="24">
        <v>2010</v>
      </c>
      <c r="H1" s="74">
        <v>2009</v>
      </c>
      <c r="I1" s="24">
        <v>2008</v>
      </c>
      <c r="J1" s="24">
        <v>2007</v>
      </c>
    </row>
    <row r="2" spans="1:10">
      <c r="A2" t="s">
        <v>108</v>
      </c>
      <c r="D2" s="24" t="s">
        <v>676</v>
      </c>
      <c r="E2" s="74" t="s">
        <v>677</v>
      </c>
      <c r="F2" s="74" t="s">
        <v>677</v>
      </c>
      <c r="G2" s="74" t="s">
        <v>677</v>
      </c>
      <c r="H2" s="74" t="s">
        <v>677</v>
      </c>
      <c r="I2" s="25" t="s">
        <v>677</v>
      </c>
      <c r="J2" s="25" t="s">
        <v>677</v>
      </c>
    </row>
    <row r="3" spans="1:10">
      <c r="A3" t="s">
        <v>253</v>
      </c>
    </row>
    <row r="4" spans="1:10">
      <c r="A4" t="s">
        <v>127</v>
      </c>
      <c r="B4" t="s">
        <v>129</v>
      </c>
      <c r="D4" s="57">
        <f>27.93*2080</f>
        <v>58094.400000000001</v>
      </c>
      <c r="E4" s="57">
        <v>50508</v>
      </c>
      <c r="F4" s="57">
        <v>60728</v>
      </c>
      <c r="G4" s="57">
        <v>66986</v>
      </c>
      <c r="H4" s="60">
        <v>66451</v>
      </c>
      <c r="I4" s="58">
        <v>76040</v>
      </c>
      <c r="J4" s="12">
        <v>86601</v>
      </c>
    </row>
    <row r="5" spans="1:10">
      <c r="A5" t="s">
        <v>128</v>
      </c>
      <c r="B5" t="s">
        <v>130</v>
      </c>
      <c r="D5" s="58">
        <v>0</v>
      </c>
      <c r="E5" s="58">
        <v>0</v>
      </c>
      <c r="F5" s="58">
        <v>700</v>
      </c>
      <c r="G5" s="58">
        <v>103</v>
      </c>
      <c r="H5" s="58">
        <v>317</v>
      </c>
      <c r="I5" s="58">
        <v>136</v>
      </c>
      <c r="J5" s="12">
        <v>93</v>
      </c>
    </row>
    <row r="6" spans="1:10">
      <c r="A6" t="s">
        <v>254</v>
      </c>
      <c r="B6" t="s">
        <v>63</v>
      </c>
      <c r="D6" s="57">
        <f>5015*102%</f>
        <v>5115.3</v>
      </c>
      <c r="E6" s="57">
        <v>4281.29</v>
      </c>
      <c r="F6" s="57">
        <v>4050</v>
      </c>
      <c r="G6" s="57">
        <v>3945</v>
      </c>
      <c r="H6" s="58">
        <v>3913</v>
      </c>
      <c r="I6" s="58">
        <v>3960</v>
      </c>
      <c r="J6" s="12">
        <v>3900</v>
      </c>
    </row>
    <row r="7" spans="1:10">
      <c r="A7" s="19" t="s">
        <v>688</v>
      </c>
      <c r="B7" t="s">
        <v>62</v>
      </c>
      <c r="D7" s="58">
        <v>0</v>
      </c>
      <c r="E7" s="58">
        <v>15.3</v>
      </c>
      <c r="F7" s="58">
        <v>1184.3</v>
      </c>
      <c r="G7" s="58">
        <v>1491</v>
      </c>
      <c r="H7" s="58">
        <v>0</v>
      </c>
      <c r="I7" s="58">
        <v>0</v>
      </c>
      <c r="J7" s="12">
        <v>66</v>
      </c>
    </row>
    <row r="8" spans="1:10">
      <c r="A8" t="s">
        <v>249</v>
      </c>
      <c r="D8" s="58"/>
      <c r="E8" s="58"/>
      <c r="F8" s="58"/>
      <c r="G8" s="58"/>
      <c r="H8" s="58"/>
      <c r="I8" s="58"/>
      <c r="J8" s="12"/>
    </row>
    <row r="9" spans="1:10">
      <c r="A9" t="s">
        <v>250</v>
      </c>
      <c r="B9" t="s">
        <v>251</v>
      </c>
      <c r="D9" s="57">
        <f>0.0725*(D4+D5+D6+D7)</f>
        <v>4582.7032499999996</v>
      </c>
      <c r="E9" s="57">
        <v>3661.88</v>
      </c>
      <c r="F9" s="57">
        <v>4539</v>
      </c>
      <c r="G9" s="57">
        <v>4798</v>
      </c>
      <c r="H9" s="58">
        <v>4507</v>
      </c>
      <c r="I9" s="58">
        <v>4951</v>
      </c>
      <c r="J9" s="12">
        <v>5418</v>
      </c>
    </row>
    <row r="10" spans="1:10">
      <c r="A10" t="s">
        <v>132</v>
      </c>
      <c r="B10" t="s">
        <v>111</v>
      </c>
      <c r="D10" s="57">
        <f>0.062*SUM(D4+D6)</f>
        <v>3919.0014000000001</v>
      </c>
      <c r="E10" s="57">
        <v>3386.56</v>
      </c>
      <c r="F10" s="57">
        <v>4070</v>
      </c>
      <c r="G10" s="57">
        <v>4402</v>
      </c>
      <c r="H10" s="58">
        <v>4294</v>
      </c>
      <c r="I10" s="58">
        <v>4873</v>
      </c>
      <c r="J10" s="12">
        <v>5544</v>
      </c>
    </row>
    <row r="11" spans="1:10">
      <c r="A11" t="s">
        <v>133</v>
      </c>
      <c r="B11" t="s">
        <v>113</v>
      </c>
      <c r="D11" s="57">
        <f>0.0145*SUM(D4+D6)</f>
        <v>916.54065000000014</v>
      </c>
      <c r="E11" s="57">
        <v>791.95</v>
      </c>
      <c r="F11" s="57">
        <v>951</v>
      </c>
      <c r="G11" s="57">
        <v>1030</v>
      </c>
      <c r="H11" s="58">
        <v>1004</v>
      </c>
      <c r="I11" s="58">
        <v>1140</v>
      </c>
      <c r="J11" s="12">
        <v>1296</v>
      </c>
    </row>
    <row r="12" spans="1:10">
      <c r="A12" t="s">
        <v>244</v>
      </c>
      <c r="D12" s="58"/>
      <c r="E12" s="58"/>
      <c r="F12" s="58"/>
      <c r="G12" s="58"/>
      <c r="H12" s="58"/>
      <c r="I12" s="58"/>
      <c r="J12" s="12"/>
    </row>
    <row r="13" spans="1:10">
      <c r="A13" t="s">
        <v>245</v>
      </c>
      <c r="B13" t="s">
        <v>246</v>
      </c>
      <c r="D13" s="57">
        <v>9402</v>
      </c>
      <c r="E13" s="57">
        <v>9402</v>
      </c>
      <c r="F13" s="57">
        <v>14032</v>
      </c>
      <c r="G13" s="57">
        <v>14247</v>
      </c>
      <c r="H13" s="60">
        <v>14631</v>
      </c>
      <c r="I13" s="58">
        <v>16020</v>
      </c>
      <c r="J13" s="12">
        <v>15336</v>
      </c>
    </row>
    <row r="14" spans="1:10">
      <c r="A14" t="s">
        <v>247</v>
      </c>
      <c r="B14" t="s">
        <v>248</v>
      </c>
      <c r="D14" s="58">
        <v>468</v>
      </c>
      <c r="E14" s="58">
        <v>416.82</v>
      </c>
      <c r="F14" s="58">
        <v>989</v>
      </c>
      <c r="G14" s="58">
        <v>1045</v>
      </c>
      <c r="H14" s="60">
        <v>955</v>
      </c>
      <c r="I14" s="58">
        <v>1378</v>
      </c>
      <c r="J14" s="12">
        <v>758</v>
      </c>
    </row>
    <row r="15" spans="1:10">
      <c r="A15" t="s">
        <v>58</v>
      </c>
      <c r="D15" s="58"/>
      <c r="E15" s="58"/>
      <c r="F15" s="58"/>
      <c r="G15" s="58"/>
      <c r="H15" s="58"/>
      <c r="I15" s="58"/>
      <c r="J15" s="12"/>
    </row>
    <row r="16" spans="1:10">
      <c r="A16" t="s">
        <v>242</v>
      </c>
      <c r="B16" t="s">
        <v>243</v>
      </c>
      <c r="D16" s="57">
        <f>1073*106%</f>
        <v>1137.3800000000001</v>
      </c>
      <c r="E16" s="57">
        <v>623</v>
      </c>
      <c r="F16" s="57">
        <v>1821</v>
      </c>
      <c r="G16" s="57">
        <v>885</v>
      </c>
      <c r="H16" s="58">
        <v>670</v>
      </c>
      <c r="I16" s="58">
        <v>657</v>
      </c>
      <c r="J16" s="12">
        <v>3042</v>
      </c>
    </row>
    <row r="17" spans="1:10">
      <c r="A17" t="s">
        <v>44</v>
      </c>
      <c r="D17" s="58"/>
      <c r="E17" s="58"/>
      <c r="F17" s="58"/>
      <c r="G17" s="58"/>
      <c r="H17" s="58"/>
      <c r="I17" s="58"/>
      <c r="J17" s="12"/>
    </row>
    <row r="18" spans="1:10">
      <c r="A18" t="s">
        <v>45</v>
      </c>
      <c r="B18" t="s">
        <v>46</v>
      </c>
      <c r="D18" s="58">
        <v>100</v>
      </c>
      <c r="E18" s="58">
        <v>0</v>
      </c>
      <c r="F18" s="58">
        <v>48</v>
      </c>
      <c r="G18" s="58">
        <v>0</v>
      </c>
      <c r="H18" s="58">
        <v>43</v>
      </c>
      <c r="I18" s="58">
        <v>0</v>
      </c>
      <c r="J18" s="12">
        <v>62</v>
      </c>
    </row>
    <row r="19" spans="1:10">
      <c r="A19" t="s">
        <v>47</v>
      </c>
      <c r="B19" t="s">
        <v>48</v>
      </c>
      <c r="D19" s="58">
        <v>500</v>
      </c>
      <c r="E19" s="58">
        <v>209.61</v>
      </c>
      <c r="F19" s="58">
        <v>110</v>
      </c>
      <c r="G19" s="58">
        <v>587</v>
      </c>
      <c r="H19" s="60">
        <v>1451</v>
      </c>
      <c r="I19" s="58">
        <v>842</v>
      </c>
      <c r="J19" s="12">
        <v>716</v>
      </c>
    </row>
    <row r="20" spans="1:10">
      <c r="A20" t="s">
        <v>49</v>
      </c>
      <c r="B20" t="s">
        <v>50</v>
      </c>
      <c r="D20" s="58">
        <v>500</v>
      </c>
      <c r="E20" s="58">
        <v>535.08000000000004</v>
      </c>
      <c r="F20" s="58">
        <v>446</v>
      </c>
      <c r="G20" s="58">
        <v>874</v>
      </c>
      <c r="H20" s="58">
        <v>874</v>
      </c>
      <c r="I20" s="58">
        <v>677</v>
      </c>
      <c r="J20" s="12">
        <v>1341</v>
      </c>
    </row>
    <row r="21" spans="1:10">
      <c r="A21" t="s">
        <v>51</v>
      </c>
      <c r="B21" t="s">
        <v>52</v>
      </c>
      <c r="D21" s="58">
        <v>500</v>
      </c>
      <c r="E21" s="58">
        <v>0</v>
      </c>
      <c r="F21" s="58">
        <v>215</v>
      </c>
      <c r="G21" s="58">
        <v>750</v>
      </c>
      <c r="H21" s="58">
        <v>284</v>
      </c>
      <c r="I21" s="58">
        <v>477</v>
      </c>
      <c r="J21" s="12">
        <v>158</v>
      </c>
    </row>
    <row r="22" spans="1:10">
      <c r="A22" t="s">
        <v>56</v>
      </c>
      <c r="B22" t="s">
        <v>57</v>
      </c>
      <c r="D22" s="58">
        <v>1000</v>
      </c>
      <c r="E22" s="58">
        <v>1121.68</v>
      </c>
      <c r="F22" s="58">
        <v>823</v>
      </c>
      <c r="G22" s="58">
        <v>1514</v>
      </c>
      <c r="H22" s="60">
        <v>2150</v>
      </c>
      <c r="I22" s="58">
        <v>1950</v>
      </c>
      <c r="J22" s="12">
        <v>3231</v>
      </c>
    </row>
    <row r="23" spans="1:10">
      <c r="A23" t="s">
        <v>208</v>
      </c>
      <c r="D23" s="58"/>
      <c r="E23" s="58"/>
      <c r="F23" s="58"/>
      <c r="G23" s="58"/>
      <c r="H23" s="58"/>
      <c r="I23" s="58"/>
      <c r="J23" s="12"/>
    </row>
    <row r="24" spans="1:10">
      <c r="A24" t="s">
        <v>209</v>
      </c>
      <c r="B24" t="s">
        <v>210</v>
      </c>
      <c r="D24" s="58">
        <v>500</v>
      </c>
      <c r="E24" s="58">
        <v>850.89</v>
      </c>
      <c r="F24" s="58">
        <v>331</v>
      </c>
      <c r="G24" s="58">
        <v>111</v>
      </c>
      <c r="H24" s="58">
        <v>444</v>
      </c>
      <c r="I24" s="58">
        <v>872</v>
      </c>
      <c r="J24" s="12">
        <v>710</v>
      </c>
    </row>
    <row r="25" spans="1:10">
      <c r="A25" t="s">
        <v>211</v>
      </c>
      <c r="B25" t="s">
        <v>212</v>
      </c>
      <c r="D25" s="58">
        <v>0</v>
      </c>
      <c r="E25" s="58">
        <v>0</v>
      </c>
      <c r="F25" s="58">
        <v>4</v>
      </c>
      <c r="G25" s="58">
        <v>161</v>
      </c>
      <c r="H25" s="58">
        <v>731</v>
      </c>
      <c r="I25" s="58">
        <v>952</v>
      </c>
      <c r="J25" s="12">
        <v>1411</v>
      </c>
    </row>
    <row r="26" spans="1:10">
      <c r="A26" t="s">
        <v>41</v>
      </c>
      <c r="B26" t="s">
        <v>42</v>
      </c>
      <c r="D26" s="58">
        <v>50</v>
      </c>
      <c r="E26" s="58">
        <v>0</v>
      </c>
      <c r="F26" s="58">
        <v>0</v>
      </c>
      <c r="G26" s="58">
        <v>0</v>
      </c>
      <c r="H26" s="58">
        <v>0</v>
      </c>
      <c r="I26" s="58">
        <v>41</v>
      </c>
      <c r="J26" s="12">
        <v>40</v>
      </c>
    </row>
    <row r="27" spans="1:10">
      <c r="A27" s="19" t="s">
        <v>689</v>
      </c>
      <c r="B27" t="s">
        <v>698</v>
      </c>
      <c r="D27" s="58">
        <v>550</v>
      </c>
      <c r="E27" s="58">
        <v>592.96</v>
      </c>
      <c r="F27" s="58">
        <v>561</v>
      </c>
      <c r="G27" s="58">
        <v>63</v>
      </c>
      <c r="H27" s="58">
        <v>116</v>
      </c>
      <c r="I27" s="58">
        <v>321</v>
      </c>
      <c r="J27" s="12">
        <v>550</v>
      </c>
    </row>
    <row r="28" spans="1:10">
      <c r="A28" t="s">
        <v>28</v>
      </c>
      <c r="D28" s="58"/>
      <c r="E28" s="58"/>
      <c r="F28" s="58"/>
      <c r="G28" s="58"/>
      <c r="H28" s="58"/>
      <c r="I28" s="58"/>
      <c r="J28" s="12"/>
    </row>
    <row r="29" spans="1:10">
      <c r="A29" s="19" t="s">
        <v>690</v>
      </c>
      <c r="B29" t="s">
        <v>199</v>
      </c>
      <c r="D29" s="58">
        <v>0</v>
      </c>
      <c r="E29" s="58">
        <v>23.47</v>
      </c>
      <c r="F29" s="58">
        <v>0</v>
      </c>
      <c r="G29" s="58">
        <v>0</v>
      </c>
      <c r="H29" s="58">
        <v>0</v>
      </c>
      <c r="I29" s="58">
        <v>195</v>
      </c>
      <c r="J29" s="12">
        <v>-645</v>
      </c>
    </row>
    <row r="30" spans="1:10">
      <c r="A30" t="s">
        <v>201</v>
      </c>
      <c r="B30" t="s">
        <v>202</v>
      </c>
      <c r="D30" s="57">
        <v>1000</v>
      </c>
      <c r="E30" s="57">
        <v>89.73</v>
      </c>
      <c r="F30" s="57">
        <v>45</v>
      </c>
      <c r="G30" s="57">
        <v>0</v>
      </c>
      <c r="H30" s="58">
        <v>192</v>
      </c>
      <c r="I30" s="58">
        <v>153</v>
      </c>
      <c r="J30" s="12">
        <v>0</v>
      </c>
    </row>
    <row r="31" spans="1:10">
      <c r="A31" s="19" t="s">
        <v>732</v>
      </c>
      <c r="B31" s="19" t="s">
        <v>733</v>
      </c>
      <c r="D31" s="58">
        <v>0</v>
      </c>
      <c r="E31" s="58">
        <v>805.64</v>
      </c>
      <c r="F31" s="58">
        <v>0</v>
      </c>
      <c r="G31" s="58">
        <v>0</v>
      </c>
      <c r="H31" s="58">
        <v>0</v>
      </c>
      <c r="I31" s="58">
        <v>130</v>
      </c>
      <c r="J31" s="12">
        <v>0</v>
      </c>
    </row>
    <row r="32" spans="1:10">
      <c r="A32" s="41" t="s">
        <v>887</v>
      </c>
      <c r="B32" s="41" t="s">
        <v>886</v>
      </c>
      <c r="D32" s="58">
        <v>0</v>
      </c>
      <c r="E32" s="58">
        <v>0</v>
      </c>
      <c r="F32" s="58">
        <v>268</v>
      </c>
      <c r="G32" s="58">
        <v>7</v>
      </c>
      <c r="H32" s="58">
        <v>133</v>
      </c>
      <c r="I32" s="58">
        <v>0</v>
      </c>
      <c r="J32" s="12">
        <v>0</v>
      </c>
    </row>
    <row r="33" spans="1:10">
      <c r="A33" t="s">
        <v>9</v>
      </c>
      <c r="D33" s="58"/>
      <c r="E33" s="58"/>
      <c r="F33" s="58"/>
      <c r="G33" s="58"/>
      <c r="H33" s="58"/>
      <c r="I33" s="58"/>
      <c r="J33" s="12"/>
    </row>
    <row r="34" spans="1:10">
      <c r="A34" t="s">
        <v>10</v>
      </c>
      <c r="B34" t="s">
        <v>11</v>
      </c>
      <c r="D34" s="58">
        <f>2679*103%</f>
        <v>2759.37</v>
      </c>
      <c r="E34" s="58">
        <v>2626</v>
      </c>
      <c r="F34" s="58">
        <v>2626</v>
      </c>
      <c r="G34" s="58">
        <v>2582</v>
      </c>
      <c r="H34" s="60">
        <v>2655</v>
      </c>
      <c r="I34" s="58">
        <v>2655</v>
      </c>
      <c r="J34" s="12">
        <v>2572</v>
      </c>
    </row>
    <row r="35" spans="1:10">
      <c r="A35" t="s">
        <v>12</v>
      </c>
      <c r="B35" t="s">
        <v>13</v>
      </c>
      <c r="D35" s="58">
        <v>1000</v>
      </c>
      <c r="E35" s="58">
        <v>0</v>
      </c>
      <c r="F35" s="58">
        <v>62</v>
      </c>
      <c r="G35" s="58">
        <v>221</v>
      </c>
      <c r="H35" s="58">
        <v>977</v>
      </c>
      <c r="I35" s="58">
        <v>0</v>
      </c>
      <c r="J35" s="12">
        <v>0</v>
      </c>
    </row>
    <row r="36" spans="1:10">
      <c r="A36" t="s">
        <v>14</v>
      </c>
      <c r="B36" t="s">
        <v>15</v>
      </c>
      <c r="D36" s="58">
        <v>9000</v>
      </c>
      <c r="E36" s="58">
        <v>19269</v>
      </c>
      <c r="F36" s="58">
        <v>7733</v>
      </c>
      <c r="G36" s="58">
        <v>10508</v>
      </c>
      <c r="H36" s="58">
        <v>7249</v>
      </c>
      <c r="I36" s="58">
        <v>6600</v>
      </c>
      <c r="J36" s="12">
        <v>6195</v>
      </c>
    </row>
    <row r="37" spans="1:10">
      <c r="A37" t="s">
        <v>16</v>
      </c>
      <c r="B37" t="s">
        <v>17</v>
      </c>
      <c r="D37" s="58">
        <v>0</v>
      </c>
      <c r="E37" s="58">
        <v>450</v>
      </c>
      <c r="F37" s="58">
        <v>0</v>
      </c>
      <c r="G37" s="58">
        <v>1236</v>
      </c>
      <c r="H37" s="60">
        <v>1913</v>
      </c>
      <c r="I37" s="58">
        <v>2735</v>
      </c>
      <c r="J37" s="12">
        <v>14242</v>
      </c>
    </row>
    <row r="38" spans="1:10">
      <c r="A38" t="s">
        <v>19</v>
      </c>
      <c r="B38" t="s">
        <v>125</v>
      </c>
      <c r="D38" s="58">
        <v>3000</v>
      </c>
      <c r="E38" s="58">
        <v>1209.21</v>
      </c>
      <c r="F38" s="58">
        <v>6184</v>
      </c>
      <c r="G38" s="58">
        <v>1687</v>
      </c>
      <c r="H38" s="60">
        <v>947</v>
      </c>
      <c r="I38" s="58">
        <v>2759</v>
      </c>
      <c r="J38" s="12">
        <v>409</v>
      </c>
    </row>
    <row r="39" spans="1:10">
      <c r="A39" t="s">
        <v>8</v>
      </c>
      <c r="D39" s="58"/>
      <c r="E39" s="58"/>
      <c r="F39" s="58"/>
      <c r="G39" s="58"/>
      <c r="H39" s="58"/>
      <c r="I39" s="58"/>
      <c r="J39" s="12"/>
    </row>
    <row r="40" spans="1:10">
      <c r="A40" t="s">
        <v>134</v>
      </c>
      <c r="B40" t="s">
        <v>119</v>
      </c>
      <c r="D40" s="58">
        <v>4500</v>
      </c>
      <c r="E40" s="58">
        <v>4756.76</v>
      </c>
      <c r="F40" s="58">
        <v>4177</v>
      </c>
      <c r="G40" s="58">
        <v>4514</v>
      </c>
      <c r="H40" s="58">
        <v>4949</v>
      </c>
      <c r="I40" s="58">
        <v>4886</v>
      </c>
      <c r="J40" s="12">
        <v>4747</v>
      </c>
    </row>
    <row r="41" spans="1:10">
      <c r="A41" t="s">
        <v>135</v>
      </c>
      <c r="B41" t="s">
        <v>120</v>
      </c>
      <c r="D41" s="58">
        <v>1250</v>
      </c>
      <c r="E41" s="58">
        <v>6.54</v>
      </c>
      <c r="F41" s="58">
        <v>990</v>
      </c>
      <c r="G41" s="58">
        <v>1247</v>
      </c>
      <c r="H41" s="58">
        <v>1353</v>
      </c>
      <c r="I41" s="58">
        <v>1883</v>
      </c>
      <c r="J41" s="12">
        <v>1864</v>
      </c>
    </row>
    <row r="42" spans="1:10">
      <c r="A42" t="s">
        <v>193</v>
      </c>
      <c r="D42" s="58"/>
      <c r="E42" s="58"/>
      <c r="F42" s="58"/>
      <c r="G42" s="58"/>
      <c r="H42" s="58"/>
      <c r="I42" s="58"/>
      <c r="J42" s="12"/>
    </row>
    <row r="43" spans="1:10">
      <c r="A43" t="s">
        <v>194</v>
      </c>
      <c r="B43" t="s">
        <v>195</v>
      </c>
      <c r="D43" s="58">
        <v>750</v>
      </c>
      <c r="E43" s="58">
        <v>451.37</v>
      </c>
      <c r="F43" s="58">
        <f>283+11</f>
        <v>294</v>
      </c>
      <c r="G43" s="58">
        <v>534</v>
      </c>
      <c r="H43" s="58">
        <v>970</v>
      </c>
      <c r="I43" s="58">
        <v>905</v>
      </c>
      <c r="J43" s="12">
        <v>0</v>
      </c>
    </row>
    <row r="44" spans="1:10">
      <c r="A44" t="s">
        <v>186</v>
      </c>
      <c r="D44" s="58"/>
      <c r="E44" s="58"/>
      <c r="F44" s="58"/>
      <c r="G44" s="58"/>
      <c r="H44" s="58"/>
      <c r="I44" s="58"/>
      <c r="J44" s="12"/>
    </row>
    <row r="45" spans="1:10">
      <c r="A45" t="s">
        <v>187</v>
      </c>
      <c r="B45" t="s">
        <v>188</v>
      </c>
      <c r="D45" s="58">
        <v>0</v>
      </c>
      <c r="E45" s="58">
        <v>0</v>
      </c>
      <c r="F45" s="58">
        <v>0</v>
      </c>
      <c r="G45" s="58">
        <v>92</v>
      </c>
      <c r="H45" s="58">
        <v>0</v>
      </c>
      <c r="I45" s="58">
        <v>29</v>
      </c>
      <c r="J45" s="12">
        <v>1466</v>
      </c>
    </row>
    <row r="46" spans="1:10">
      <c r="A46" t="s">
        <v>664</v>
      </c>
      <c r="B46" t="s">
        <v>191</v>
      </c>
      <c r="D46" s="58">
        <v>400</v>
      </c>
      <c r="E46" s="58">
        <v>0</v>
      </c>
      <c r="F46" s="58">
        <v>310</v>
      </c>
      <c r="G46" s="58">
        <v>516</v>
      </c>
      <c r="H46" s="58">
        <v>0</v>
      </c>
      <c r="I46" s="58">
        <v>1289</v>
      </c>
      <c r="J46" s="12">
        <v>2430</v>
      </c>
    </row>
    <row r="47" spans="1:10">
      <c r="A47" t="s">
        <v>180</v>
      </c>
      <c r="D47" s="58"/>
      <c r="E47" s="58"/>
      <c r="F47" s="58"/>
      <c r="G47" s="58"/>
      <c r="H47" s="58"/>
      <c r="I47" s="58"/>
      <c r="J47" s="12"/>
    </row>
    <row r="48" spans="1:10">
      <c r="A48" t="s">
        <v>179</v>
      </c>
      <c r="B48" t="s">
        <v>181</v>
      </c>
      <c r="D48" s="58">
        <v>1500</v>
      </c>
      <c r="E48" s="58">
        <v>2007.48</v>
      </c>
      <c r="F48" s="58">
        <v>2603</v>
      </c>
      <c r="G48" s="58">
        <v>2514</v>
      </c>
      <c r="H48" s="58">
        <v>2334</v>
      </c>
      <c r="I48" s="58">
        <v>2212</v>
      </c>
      <c r="J48" s="12">
        <v>2861</v>
      </c>
    </row>
    <row r="49" spans="1:10">
      <c r="A49" t="s">
        <v>182</v>
      </c>
      <c r="B49" t="s">
        <v>183</v>
      </c>
      <c r="D49" s="58">
        <v>400</v>
      </c>
      <c r="E49" s="58">
        <v>0</v>
      </c>
      <c r="F49" s="58">
        <v>356</v>
      </c>
      <c r="G49" s="58">
        <v>187</v>
      </c>
      <c r="H49" s="58">
        <v>356</v>
      </c>
      <c r="I49" s="58">
        <v>163</v>
      </c>
      <c r="J49" s="12">
        <v>86</v>
      </c>
    </row>
    <row r="50" spans="1:10">
      <c r="A50" t="s">
        <v>184</v>
      </c>
      <c r="B50" t="s">
        <v>185</v>
      </c>
      <c r="D50" s="58">
        <v>1000</v>
      </c>
      <c r="E50" s="58">
        <v>0</v>
      </c>
      <c r="F50" s="58">
        <v>56</v>
      </c>
      <c r="G50" s="58">
        <v>68</v>
      </c>
      <c r="H50" s="58">
        <v>46</v>
      </c>
      <c r="I50" s="58">
        <v>125</v>
      </c>
      <c r="J50" s="12">
        <v>0</v>
      </c>
    </row>
    <row r="51" spans="1:10">
      <c r="A51" t="s">
        <v>173</v>
      </c>
      <c r="D51" s="58"/>
      <c r="E51" s="58"/>
      <c r="F51" s="58"/>
      <c r="G51" s="58"/>
      <c r="H51" s="58"/>
      <c r="I51" s="58"/>
      <c r="J51" s="12"/>
    </row>
    <row r="52" spans="1:10">
      <c r="A52" t="s">
        <v>136</v>
      </c>
      <c r="B52" t="s">
        <v>115</v>
      </c>
      <c r="D52" s="57">
        <f>7583*110%</f>
        <v>8341.3000000000011</v>
      </c>
      <c r="E52" s="57">
        <v>7583.45</v>
      </c>
      <c r="F52" s="57">
        <v>5266</v>
      </c>
      <c r="G52" s="57">
        <v>7035</v>
      </c>
      <c r="H52" s="58">
        <v>6901</v>
      </c>
      <c r="I52" s="58">
        <v>9361</v>
      </c>
      <c r="J52" s="12">
        <v>10535</v>
      </c>
    </row>
    <row r="53" spans="1:10">
      <c r="A53" t="s">
        <v>174</v>
      </c>
      <c r="B53" t="s">
        <v>176</v>
      </c>
      <c r="D53" s="57">
        <f>366*107%</f>
        <v>391.62</v>
      </c>
      <c r="E53" s="57">
        <v>366</v>
      </c>
      <c r="F53" s="57">
        <v>259</v>
      </c>
      <c r="G53" s="57">
        <v>298</v>
      </c>
      <c r="H53" s="58">
        <v>293</v>
      </c>
      <c r="I53" s="58">
        <v>568</v>
      </c>
      <c r="J53" s="12">
        <v>2149</v>
      </c>
    </row>
    <row r="54" spans="1:10">
      <c r="A54" t="s">
        <v>175</v>
      </c>
      <c r="B54" t="s">
        <v>177</v>
      </c>
      <c r="D54" s="57">
        <v>0</v>
      </c>
      <c r="E54" s="57">
        <v>0</v>
      </c>
      <c r="F54" s="57">
        <v>0</v>
      </c>
      <c r="G54" s="57">
        <f>309*103%</f>
        <v>318.27</v>
      </c>
      <c r="H54" s="58">
        <v>297</v>
      </c>
      <c r="I54" s="58">
        <v>309</v>
      </c>
      <c r="J54" s="12">
        <v>325</v>
      </c>
    </row>
    <row r="55" spans="1:10">
      <c r="A55" t="s">
        <v>163</v>
      </c>
      <c r="D55" s="58"/>
      <c r="E55" s="58"/>
      <c r="F55" s="58"/>
      <c r="G55" s="58"/>
      <c r="H55" s="58"/>
      <c r="I55" s="58"/>
      <c r="J55" s="12"/>
    </row>
    <row r="56" spans="1:10">
      <c r="A56" t="s">
        <v>169</v>
      </c>
      <c r="B56" t="s">
        <v>164</v>
      </c>
      <c r="D56" s="57">
        <f>1683*109%</f>
        <v>1834.47</v>
      </c>
      <c r="E56" s="57">
        <v>1801.09</v>
      </c>
      <c r="F56" s="57">
        <v>1638</v>
      </c>
      <c r="G56" s="57">
        <v>1653</v>
      </c>
      <c r="H56" s="58">
        <v>1534</v>
      </c>
      <c r="I56" s="58">
        <v>1775</v>
      </c>
      <c r="J56" s="12">
        <v>1776</v>
      </c>
    </row>
    <row r="57" spans="1:10">
      <c r="A57" t="s">
        <v>170</v>
      </c>
      <c r="B57" t="s">
        <v>165</v>
      </c>
      <c r="D57" s="58">
        <v>0</v>
      </c>
      <c r="E57" s="58">
        <v>0</v>
      </c>
      <c r="F57" s="58">
        <v>0</v>
      </c>
      <c r="G57" s="58">
        <v>0</v>
      </c>
      <c r="H57" s="58">
        <v>0</v>
      </c>
      <c r="I57" s="58">
        <v>0</v>
      </c>
      <c r="J57" s="12">
        <v>0</v>
      </c>
    </row>
    <row r="58" spans="1:10">
      <c r="A58" t="s">
        <v>171</v>
      </c>
      <c r="B58" t="s">
        <v>166</v>
      </c>
      <c r="D58" s="58">
        <v>1500</v>
      </c>
      <c r="E58" s="58">
        <v>303.47000000000003</v>
      </c>
      <c r="F58" s="58">
        <v>1513</v>
      </c>
      <c r="G58" s="58">
        <v>1581</v>
      </c>
      <c r="H58" s="58">
        <v>3706</v>
      </c>
      <c r="I58" s="58">
        <v>3418</v>
      </c>
      <c r="J58" s="12">
        <v>3293</v>
      </c>
    </row>
    <row r="59" spans="1:10">
      <c r="A59" s="19" t="s">
        <v>691</v>
      </c>
      <c r="B59" s="19" t="s">
        <v>167</v>
      </c>
      <c r="D59" s="58">
        <v>1700</v>
      </c>
      <c r="E59" s="58">
        <v>1260.29</v>
      </c>
      <c r="F59" s="58">
        <v>1823</v>
      </c>
      <c r="G59" s="58">
        <v>902</v>
      </c>
      <c r="H59" s="58">
        <v>812</v>
      </c>
      <c r="I59" s="58">
        <v>823</v>
      </c>
      <c r="J59" s="12">
        <v>585</v>
      </c>
    </row>
    <row r="60" spans="1:10">
      <c r="A60" t="s">
        <v>172</v>
      </c>
      <c r="B60" t="s">
        <v>168</v>
      </c>
      <c r="D60" s="58">
        <v>0</v>
      </c>
      <c r="E60" s="58">
        <v>0</v>
      </c>
      <c r="F60" s="58">
        <v>0</v>
      </c>
      <c r="G60" s="58">
        <v>0</v>
      </c>
      <c r="H60" s="58">
        <v>0</v>
      </c>
      <c r="I60" s="58">
        <v>0</v>
      </c>
      <c r="J60" s="12">
        <v>0</v>
      </c>
    </row>
    <row r="61" spans="1:10">
      <c r="A61" t="s">
        <v>667</v>
      </c>
      <c r="D61" s="58"/>
      <c r="E61" s="58"/>
      <c r="F61" s="58"/>
      <c r="G61" s="58"/>
      <c r="H61" s="58"/>
      <c r="I61" s="58"/>
      <c r="J61" s="12"/>
    </row>
    <row r="62" spans="1:10">
      <c r="A62" s="19" t="s">
        <v>692</v>
      </c>
      <c r="B62" s="19" t="s">
        <v>693</v>
      </c>
      <c r="D62" s="58">
        <v>2000</v>
      </c>
      <c r="E62" s="58">
        <v>0</v>
      </c>
      <c r="F62" s="58">
        <v>0</v>
      </c>
      <c r="G62" s="58">
        <v>2400</v>
      </c>
      <c r="H62" s="60">
        <v>0</v>
      </c>
      <c r="I62" s="58">
        <v>1362</v>
      </c>
      <c r="J62" s="12">
        <v>4105</v>
      </c>
    </row>
    <row r="63" spans="1:10">
      <c r="A63" t="s">
        <v>157</v>
      </c>
      <c r="D63" s="58"/>
      <c r="E63" s="58"/>
      <c r="F63" s="58"/>
      <c r="G63" s="58"/>
      <c r="H63" s="58"/>
      <c r="I63" s="58"/>
      <c r="J63" s="12"/>
    </row>
    <row r="64" spans="1:10">
      <c r="A64" s="19" t="s">
        <v>694</v>
      </c>
      <c r="B64" t="s">
        <v>158</v>
      </c>
      <c r="D64" s="58">
        <v>4000</v>
      </c>
      <c r="E64" s="58">
        <v>249.99</v>
      </c>
      <c r="F64" s="58">
        <v>5040</v>
      </c>
      <c r="G64" s="58">
        <v>0</v>
      </c>
      <c r="H64" s="58">
        <v>1873</v>
      </c>
      <c r="I64" s="58">
        <v>681</v>
      </c>
      <c r="J64" s="12">
        <v>225</v>
      </c>
    </row>
    <row r="65" spans="1:10">
      <c r="A65" t="s">
        <v>162</v>
      </c>
      <c r="B65" t="s">
        <v>160</v>
      </c>
      <c r="D65" s="58">
        <v>0</v>
      </c>
      <c r="E65" s="58">
        <v>0</v>
      </c>
      <c r="F65" s="58">
        <v>775</v>
      </c>
      <c r="G65" s="58">
        <v>0</v>
      </c>
      <c r="H65" s="58">
        <v>25</v>
      </c>
      <c r="I65" s="58">
        <v>1284</v>
      </c>
      <c r="J65" s="12">
        <v>0</v>
      </c>
    </row>
    <row r="66" spans="1:10">
      <c r="A66" s="19" t="s">
        <v>695</v>
      </c>
      <c r="B66" t="s">
        <v>161</v>
      </c>
      <c r="D66" s="58">
        <v>0</v>
      </c>
      <c r="E66" s="58">
        <v>0</v>
      </c>
      <c r="F66" s="58">
        <v>0</v>
      </c>
      <c r="G66" s="58">
        <v>0</v>
      </c>
      <c r="H66" s="58">
        <v>0</v>
      </c>
      <c r="I66" s="58">
        <v>180</v>
      </c>
      <c r="J66" s="12">
        <v>13</v>
      </c>
    </row>
    <row r="67" spans="1:10">
      <c r="A67" t="s">
        <v>151</v>
      </c>
      <c r="D67" s="58"/>
      <c r="E67" s="58"/>
      <c r="F67" s="58"/>
      <c r="G67" s="58"/>
      <c r="H67" s="58"/>
      <c r="I67" s="58"/>
      <c r="J67" s="12"/>
    </row>
    <row r="68" spans="1:10">
      <c r="A68" t="s">
        <v>156</v>
      </c>
      <c r="B68" t="s">
        <v>152</v>
      </c>
      <c r="D68" s="58">
        <v>1300</v>
      </c>
      <c r="E68" s="58">
        <v>519.05999999999995</v>
      </c>
      <c r="F68" s="58">
        <f>624+50</f>
        <v>674</v>
      </c>
      <c r="G68" s="58">
        <v>2188</v>
      </c>
      <c r="H68" s="58">
        <v>2148</v>
      </c>
      <c r="I68" s="58">
        <v>1365</v>
      </c>
      <c r="J68" s="12">
        <v>1339</v>
      </c>
    </row>
    <row r="69" spans="1:10">
      <c r="A69" t="s">
        <v>973</v>
      </c>
      <c r="B69" t="s">
        <v>974</v>
      </c>
      <c r="D69" s="58">
        <v>0</v>
      </c>
      <c r="E69" s="58">
        <v>-42.19</v>
      </c>
      <c r="F69" s="58">
        <v>0</v>
      </c>
      <c r="G69" s="58">
        <v>0</v>
      </c>
      <c r="H69" s="58">
        <v>0</v>
      </c>
      <c r="I69" s="58">
        <v>0</v>
      </c>
      <c r="J69" s="12">
        <v>0</v>
      </c>
    </row>
    <row r="70" spans="1:10">
      <c r="A70" t="s">
        <v>148</v>
      </c>
      <c r="D70" s="58"/>
      <c r="E70" s="58"/>
      <c r="F70" s="58"/>
      <c r="G70" s="58"/>
      <c r="H70" s="58"/>
      <c r="I70" s="58"/>
      <c r="J70" s="12"/>
    </row>
    <row r="71" spans="1:10">
      <c r="A71" t="s">
        <v>150</v>
      </c>
      <c r="B71" t="s">
        <v>149</v>
      </c>
      <c r="D71" s="58"/>
      <c r="E71" s="58"/>
      <c r="F71" s="58"/>
      <c r="G71" s="58"/>
      <c r="H71" s="58"/>
      <c r="I71" s="63"/>
      <c r="J71" s="12"/>
    </row>
    <row r="72" spans="1:10">
      <c r="A72" t="s">
        <v>141</v>
      </c>
      <c r="D72" s="58"/>
      <c r="E72" s="58"/>
      <c r="F72" s="58"/>
      <c r="G72" s="58"/>
      <c r="H72" s="58"/>
      <c r="I72" s="58"/>
      <c r="J72" s="12"/>
    </row>
    <row r="73" spans="1:10">
      <c r="A73" t="s">
        <v>137</v>
      </c>
      <c r="B73" t="s">
        <v>124</v>
      </c>
      <c r="D73" s="58">
        <v>4500</v>
      </c>
      <c r="E73" s="58">
        <v>2255.4899999999998</v>
      </c>
      <c r="F73" s="58">
        <v>4877</v>
      </c>
      <c r="G73" s="58">
        <v>2146</v>
      </c>
      <c r="H73" s="60">
        <v>2206</v>
      </c>
      <c r="I73" s="58">
        <v>4402</v>
      </c>
      <c r="J73" s="12">
        <v>2345</v>
      </c>
    </row>
    <row r="74" spans="1:10">
      <c r="A74" t="s">
        <v>138</v>
      </c>
      <c r="B74" t="s">
        <v>822</v>
      </c>
      <c r="D74" s="58">
        <v>125</v>
      </c>
      <c r="E74" s="58">
        <v>0</v>
      </c>
      <c r="F74" s="58">
        <v>0</v>
      </c>
      <c r="G74" s="58">
        <v>125</v>
      </c>
      <c r="H74" s="58">
        <v>658</v>
      </c>
      <c r="I74" s="58">
        <v>75</v>
      </c>
      <c r="J74" s="12">
        <v>60</v>
      </c>
    </row>
    <row r="75" spans="1:10">
      <c r="A75" s="19" t="s">
        <v>734</v>
      </c>
      <c r="B75" s="19" t="s">
        <v>735</v>
      </c>
      <c r="D75" s="58">
        <v>0</v>
      </c>
      <c r="E75" s="58">
        <v>0</v>
      </c>
      <c r="F75" s="58">
        <v>59</v>
      </c>
      <c r="G75" s="58">
        <v>0</v>
      </c>
      <c r="H75" s="58">
        <v>0</v>
      </c>
      <c r="I75" s="58">
        <v>76</v>
      </c>
      <c r="J75" s="12">
        <v>0</v>
      </c>
    </row>
    <row r="76" spans="1:10">
      <c r="A76" t="s">
        <v>139</v>
      </c>
      <c r="B76" t="s">
        <v>122</v>
      </c>
      <c r="D76" s="58">
        <v>1500</v>
      </c>
      <c r="E76" s="58">
        <v>1209.1300000000001</v>
      </c>
      <c r="F76" s="58">
        <v>1562</v>
      </c>
      <c r="G76" s="58">
        <v>1130</v>
      </c>
      <c r="H76" s="58">
        <v>737</v>
      </c>
      <c r="I76" s="58">
        <v>1073</v>
      </c>
      <c r="J76" s="12">
        <v>1423</v>
      </c>
    </row>
    <row r="77" spans="1:10">
      <c r="A77" t="s">
        <v>140</v>
      </c>
      <c r="B77" t="s">
        <v>142</v>
      </c>
      <c r="D77" s="58">
        <v>300</v>
      </c>
      <c r="E77" s="58">
        <v>25.51</v>
      </c>
      <c r="F77" s="58">
        <v>165</v>
      </c>
      <c r="G77" s="58">
        <v>0</v>
      </c>
      <c r="H77" s="60">
        <v>307</v>
      </c>
      <c r="I77" s="58">
        <v>388</v>
      </c>
      <c r="J77" s="12">
        <v>0</v>
      </c>
    </row>
    <row r="78" spans="1:10">
      <c r="A78" t="s">
        <v>143</v>
      </c>
      <c r="B78" t="s">
        <v>144</v>
      </c>
      <c r="D78" s="58">
        <v>0</v>
      </c>
      <c r="E78" s="58">
        <v>0</v>
      </c>
      <c r="F78" s="58">
        <v>0</v>
      </c>
      <c r="G78" s="58">
        <v>143</v>
      </c>
      <c r="H78" s="60">
        <v>170</v>
      </c>
      <c r="I78" s="58">
        <v>4383</v>
      </c>
      <c r="J78" s="12">
        <v>12357</v>
      </c>
    </row>
    <row r="79" spans="1:10">
      <c r="A79" t="s">
        <v>147</v>
      </c>
      <c r="B79" t="s">
        <v>795</v>
      </c>
      <c r="D79" s="58">
        <v>0</v>
      </c>
      <c r="E79" s="58">
        <v>0</v>
      </c>
      <c r="F79" s="58">
        <v>0</v>
      </c>
      <c r="G79" s="58">
        <v>0</v>
      </c>
      <c r="H79" s="58">
        <v>0</v>
      </c>
      <c r="I79" s="58">
        <v>2150</v>
      </c>
      <c r="J79" s="12">
        <v>4400</v>
      </c>
    </row>
    <row r="80" spans="1:10">
      <c r="D80" s="58"/>
      <c r="E80" s="58"/>
      <c r="F80" s="58"/>
      <c r="G80" s="58"/>
      <c r="H80" s="58"/>
      <c r="I80" s="58"/>
      <c r="J80" s="12"/>
    </row>
    <row r="81" spans="1:10">
      <c r="A81" s="49"/>
      <c r="B81" s="38" t="s">
        <v>77</v>
      </c>
      <c r="D81" s="57">
        <f t="shared" ref="D81" si="0">SUM(D4:D80)</f>
        <v>141387.08529999998</v>
      </c>
      <c r="E81" s="57">
        <f t="shared" ref="E81:J81" si="1">SUM(E4:E80)</f>
        <v>123623.50999999998</v>
      </c>
      <c r="F81" s="57">
        <f t="shared" si="1"/>
        <v>144957.29999999999</v>
      </c>
      <c r="G81" s="57">
        <f t="shared" si="1"/>
        <v>148824.26999999999</v>
      </c>
      <c r="H81" s="60">
        <f t="shared" si="1"/>
        <v>148576</v>
      </c>
      <c r="I81" s="57">
        <f t="shared" si="1"/>
        <v>175679</v>
      </c>
      <c r="J81" s="12">
        <f t="shared" si="1"/>
        <v>211430</v>
      </c>
    </row>
    <row r="82" spans="1:10">
      <c r="A82" s="59"/>
      <c r="G82" s="49"/>
      <c r="H82" s="49"/>
      <c r="I82" s="64"/>
      <c r="J82" s="12"/>
    </row>
    <row r="83" spans="1:10">
      <c r="A83" s="49"/>
      <c r="G83" s="49"/>
      <c r="H83" s="49"/>
      <c r="I83" s="49"/>
    </row>
  </sheetData>
  <phoneticPr fontId="2" type="noConversion"/>
  <pageMargins left="0.25" right="0.25" top="0.75" bottom="0.75" header="0.3" footer="0.3"/>
  <pageSetup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dimension ref="A1:J74"/>
  <sheetViews>
    <sheetView topLeftCell="A34" workbookViewId="0">
      <selection activeCell="E1" sqref="E1"/>
    </sheetView>
  </sheetViews>
  <sheetFormatPr defaultRowHeight="12.75"/>
  <cols>
    <col min="1" max="1" width="18.28515625" customWidth="1"/>
    <col min="2" max="2" width="27.42578125" customWidth="1"/>
    <col min="3" max="3" width="5.7109375" customWidth="1"/>
    <col min="4" max="4" width="11.7109375" customWidth="1"/>
    <col min="5" max="10" width="10.7109375" customWidth="1"/>
  </cols>
  <sheetData>
    <row r="1" spans="1:10" ht="15.75">
      <c r="B1" s="20" t="s">
        <v>0</v>
      </c>
      <c r="C1" s="20"/>
      <c r="D1" s="21">
        <v>2013</v>
      </c>
      <c r="E1" s="74">
        <v>2012</v>
      </c>
      <c r="F1" s="74">
        <v>2011</v>
      </c>
      <c r="G1" s="24">
        <v>2010</v>
      </c>
      <c r="H1" s="74">
        <v>2009</v>
      </c>
      <c r="I1" s="24">
        <v>2008</v>
      </c>
      <c r="J1" s="24">
        <v>2007</v>
      </c>
    </row>
    <row r="2" spans="1:10">
      <c r="A2" t="s">
        <v>108</v>
      </c>
      <c r="D2" s="24" t="s">
        <v>676</v>
      </c>
      <c r="E2" s="74" t="s">
        <v>677</v>
      </c>
      <c r="F2" s="74" t="s">
        <v>677</v>
      </c>
      <c r="G2" s="74" t="s">
        <v>677</v>
      </c>
      <c r="H2" s="74" t="s">
        <v>677</v>
      </c>
      <c r="I2" s="25" t="s">
        <v>677</v>
      </c>
      <c r="J2" s="25" t="s">
        <v>677</v>
      </c>
    </row>
    <row r="3" spans="1:10">
      <c r="A3" t="s">
        <v>253</v>
      </c>
    </row>
    <row r="4" spans="1:10">
      <c r="A4" t="s">
        <v>72</v>
      </c>
      <c r="B4" t="s">
        <v>129</v>
      </c>
      <c r="D4" s="12">
        <f>56409.6*102%</f>
        <v>57537.792000000001</v>
      </c>
      <c r="E4" s="57">
        <v>55856.639999999999</v>
      </c>
      <c r="F4" s="57">
        <v>91317</v>
      </c>
      <c r="G4" s="57">
        <v>90064</v>
      </c>
      <c r="H4" s="12">
        <v>89247</v>
      </c>
      <c r="I4" s="12">
        <v>86231</v>
      </c>
      <c r="J4" s="12">
        <v>83435</v>
      </c>
    </row>
    <row r="5" spans="1:10">
      <c r="A5" t="s">
        <v>73</v>
      </c>
      <c r="B5" t="s">
        <v>130</v>
      </c>
      <c r="D5" s="12">
        <v>0</v>
      </c>
      <c r="E5" s="58">
        <v>0</v>
      </c>
      <c r="F5" s="58">
        <v>2186</v>
      </c>
      <c r="G5" s="58">
        <v>3173</v>
      </c>
      <c r="H5" s="58">
        <v>2704</v>
      </c>
      <c r="I5" s="12">
        <v>4538</v>
      </c>
      <c r="J5" s="12">
        <v>5428</v>
      </c>
    </row>
    <row r="6" spans="1:10">
      <c r="A6" t="s">
        <v>268</v>
      </c>
      <c r="B6" t="s">
        <v>63</v>
      </c>
      <c r="D6" s="12">
        <f>15797+16702</f>
        <v>32499</v>
      </c>
      <c r="E6" s="58">
        <v>13074.21</v>
      </c>
      <c r="F6" s="58">
        <v>11245</v>
      </c>
      <c r="G6" s="58">
        <v>11502</v>
      </c>
      <c r="H6" s="60">
        <v>11424</v>
      </c>
      <c r="I6" s="12">
        <v>11118</v>
      </c>
      <c r="J6" s="12">
        <v>11130</v>
      </c>
    </row>
    <row r="7" spans="1:10">
      <c r="A7" t="s">
        <v>425</v>
      </c>
      <c r="B7" t="s">
        <v>62</v>
      </c>
      <c r="D7" s="12"/>
      <c r="E7" s="58"/>
      <c r="F7" s="58"/>
      <c r="G7" s="58"/>
      <c r="H7" s="58"/>
      <c r="I7" s="12"/>
      <c r="J7" s="12"/>
    </row>
    <row r="8" spans="1:10">
      <c r="A8" t="s">
        <v>249</v>
      </c>
      <c r="D8" s="12"/>
      <c r="E8" s="58"/>
      <c r="F8" s="58"/>
      <c r="G8" s="58"/>
      <c r="H8" s="58"/>
      <c r="I8" s="12"/>
      <c r="J8" s="12"/>
    </row>
    <row r="9" spans="1:10">
      <c r="A9" t="s">
        <v>269</v>
      </c>
      <c r="B9" t="s">
        <v>251</v>
      </c>
      <c r="D9" s="57">
        <f>0.0725*15797</f>
        <v>1145.2825</v>
      </c>
      <c r="E9" s="57">
        <v>947.86</v>
      </c>
      <c r="F9" s="57">
        <v>815</v>
      </c>
      <c r="G9" s="57">
        <f>0.07*G6</f>
        <v>805.1400000000001</v>
      </c>
      <c r="H9" s="58">
        <v>771</v>
      </c>
      <c r="I9" s="12">
        <v>723</v>
      </c>
      <c r="J9" s="12">
        <v>694</v>
      </c>
    </row>
    <row r="10" spans="1:10">
      <c r="A10" t="s">
        <v>270</v>
      </c>
      <c r="B10" t="s">
        <v>111</v>
      </c>
      <c r="D10" s="12">
        <f>0.062*15797</f>
        <v>979.41399999999999</v>
      </c>
      <c r="E10" s="57">
        <v>810.54</v>
      </c>
      <c r="F10" s="57">
        <f>0.062*SUM(F6)</f>
        <v>697.18999999999994</v>
      </c>
      <c r="G10" s="57">
        <v>713</v>
      </c>
      <c r="H10" s="58">
        <v>708</v>
      </c>
      <c r="I10" s="12">
        <v>689</v>
      </c>
      <c r="J10" s="12">
        <v>690</v>
      </c>
    </row>
    <row r="11" spans="1:10">
      <c r="A11" t="s">
        <v>271</v>
      </c>
      <c r="B11" t="s">
        <v>113</v>
      </c>
      <c r="D11" s="12">
        <f>0.0145*SUM(D4:D6)</f>
        <v>1305.533484</v>
      </c>
      <c r="E11" s="57">
        <v>999.42</v>
      </c>
      <c r="F11" s="57">
        <v>1466</v>
      </c>
      <c r="G11" s="57">
        <v>1459</v>
      </c>
      <c r="H11" s="58">
        <v>1441</v>
      </c>
      <c r="I11" s="12">
        <v>1464</v>
      </c>
      <c r="J11" s="12">
        <v>1437</v>
      </c>
    </row>
    <row r="12" spans="1:10">
      <c r="A12" t="s">
        <v>272</v>
      </c>
      <c r="B12" t="s">
        <v>252</v>
      </c>
      <c r="D12" s="58">
        <f>(D4+16702)*0.144</f>
        <v>10690.530047999999</v>
      </c>
      <c r="E12" s="58">
        <v>8043.3</v>
      </c>
      <c r="F12" s="58">
        <f>(F4+F5)*0.144</f>
        <v>13464.431999999999</v>
      </c>
      <c r="G12" s="58">
        <f>(G4+G5)*0.141</f>
        <v>13146.416999999999</v>
      </c>
      <c r="H12" s="58">
        <v>12965</v>
      </c>
      <c r="I12" s="12">
        <v>11709</v>
      </c>
      <c r="J12" s="12">
        <v>10396</v>
      </c>
    </row>
    <row r="13" spans="1:10">
      <c r="A13" t="s">
        <v>244</v>
      </c>
      <c r="D13" s="12"/>
      <c r="E13" s="12"/>
      <c r="F13" s="12"/>
      <c r="G13" s="12"/>
      <c r="H13" s="58"/>
      <c r="I13" s="12"/>
      <c r="J13" s="12"/>
    </row>
    <row r="14" spans="1:10">
      <c r="A14" t="s">
        <v>273</v>
      </c>
      <c r="B14" t="s">
        <v>246</v>
      </c>
      <c r="D14" s="57">
        <v>9402</v>
      </c>
      <c r="E14" s="57">
        <v>9402</v>
      </c>
      <c r="F14" s="57">
        <v>19968</v>
      </c>
      <c r="G14" s="57">
        <v>18072</v>
      </c>
      <c r="H14" s="60">
        <v>18036</v>
      </c>
      <c r="I14" s="12">
        <v>16020</v>
      </c>
      <c r="J14" s="12">
        <v>13632</v>
      </c>
    </row>
    <row r="15" spans="1:10">
      <c r="A15" t="s">
        <v>274</v>
      </c>
      <c r="B15" t="s">
        <v>248</v>
      </c>
      <c r="D15" s="58">
        <v>468</v>
      </c>
      <c r="E15" s="58">
        <v>416.82</v>
      </c>
      <c r="F15" s="58">
        <v>1365</v>
      </c>
      <c r="G15" s="58">
        <v>1326</v>
      </c>
      <c r="H15" s="60">
        <v>1169</v>
      </c>
      <c r="I15" s="12">
        <v>930</v>
      </c>
      <c r="J15" s="12">
        <v>851</v>
      </c>
    </row>
    <row r="16" spans="1:10">
      <c r="A16" t="s">
        <v>58</v>
      </c>
      <c r="D16" s="12"/>
      <c r="E16" s="58"/>
      <c r="F16" s="58"/>
      <c r="G16" s="58"/>
      <c r="H16" s="58"/>
      <c r="I16" s="12"/>
      <c r="J16" s="12"/>
    </row>
    <row r="17" spans="1:10">
      <c r="A17" t="s">
        <v>275</v>
      </c>
      <c r="B17" t="s">
        <v>243</v>
      </c>
      <c r="D17" s="57">
        <f>3250*106%</f>
        <v>3445</v>
      </c>
      <c r="E17" s="57">
        <v>2051</v>
      </c>
      <c r="F17" s="57">
        <v>6459</v>
      </c>
      <c r="G17" s="57">
        <v>2975</v>
      </c>
      <c r="H17" s="58">
        <v>3043</v>
      </c>
      <c r="I17" s="12">
        <v>2938</v>
      </c>
      <c r="J17" s="12">
        <v>4061</v>
      </c>
    </row>
    <row r="18" spans="1:10">
      <c r="A18" t="s">
        <v>44</v>
      </c>
      <c r="D18" s="12"/>
      <c r="E18" s="12"/>
      <c r="F18" s="12"/>
      <c r="G18" s="12"/>
      <c r="H18" s="58"/>
      <c r="I18" s="12"/>
      <c r="J18" s="12"/>
    </row>
    <row r="19" spans="1:10">
      <c r="A19" t="s">
        <v>276</v>
      </c>
      <c r="B19" t="s">
        <v>46</v>
      </c>
      <c r="D19" s="12">
        <v>300</v>
      </c>
      <c r="E19" s="12">
        <v>116.23</v>
      </c>
      <c r="F19" s="12">
        <v>17</v>
      </c>
      <c r="G19" s="12">
        <f>358+252</f>
        <v>610</v>
      </c>
      <c r="H19" s="58">
        <v>0</v>
      </c>
      <c r="I19" s="12">
        <v>243</v>
      </c>
      <c r="J19" s="12">
        <v>0</v>
      </c>
    </row>
    <row r="20" spans="1:10">
      <c r="A20" t="s">
        <v>277</v>
      </c>
      <c r="B20" t="s">
        <v>57</v>
      </c>
      <c r="D20" s="12">
        <v>1000</v>
      </c>
      <c r="E20" s="12">
        <v>644.09</v>
      </c>
      <c r="F20" s="12">
        <f>888+85</f>
        <v>973</v>
      </c>
      <c r="G20" s="12">
        <v>1423</v>
      </c>
      <c r="H20" s="58">
        <f>835+120</f>
        <v>955</v>
      </c>
      <c r="I20" s="12">
        <v>597</v>
      </c>
      <c r="J20" s="12">
        <v>1166</v>
      </c>
    </row>
    <row r="21" spans="1:10">
      <c r="A21" t="s">
        <v>208</v>
      </c>
      <c r="D21" s="12"/>
      <c r="E21" s="12"/>
      <c r="F21" s="12"/>
      <c r="G21" s="12"/>
      <c r="H21" s="58"/>
      <c r="I21" s="12"/>
      <c r="J21" s="12"/>
    </row>
    <row r="22" spans="1:10">
      <c r="A22" t="s">
        <v>278</v>
      </c>
      <c r="B22" t="s">
        <v>210</v>
      </c>
      <c r="D22" s="12"/>
      <c r="E22" s="12"/>
      <c r="F22" s="12"/>
      <c r="G22" s="12"/>
      <c r="H22" s="58"/>
      <c r="I22" s="12"/>
      <c r="J22" s="12"/>
    </row>
    <row r="23" spans="1:10">
      <c r="A23" t="s">
        <v>279</v>
      </c>
      <c r="B23" t="s">
        <v>212</v>
      </c>
      <c r="D23" s="12">
        <v>5000</v>
      </c>
      <c r="E23" s="12">
        <v>3236.7</v>
      </c>
      <c r="F23" s="12">
        <v>4769</v>
      </c>
      <c r="G23" s="12">
        <v>3491</v>
      </c>
      <c r="H23" s="60">
        <v>2328</v>
      </c>
      <c r="I23" s="35">
        <v>3185.95</v>
      </c>
      <c r="J23" s="12">
        <v>3180</v>
      </c>
    </row>
    <row r="24" spans="1:10">
      <c r="A24" t="s">
        <v>280</v>
      </c>
      <c r="B24" t="s">
        <v>234</v>
      </c>
      <c r="D24" s="12">
        <v>400</v>
      </c>
      <c r="E24" s="12">
        <v>93.76</v>
      </c>
      <c r="F24" s="12">
        <v>144</v>
      </c>
      <c r="G24" s="12">
        <v>400</v>
      </c>
      <c r="H24" s="58">
        <v>461</v>
      </c>
      <c r="I24" s="12">
        <v>137</v>
      </c>
      <c r="J24" s="12">
        <v>489</v>
      </c>
    </row>
    <row r="25" spans="1:10">
      <c r="A25" t="s">
        <v>281</v>
      </c>
      <c r="B25" t="s">
        <v>43</v>
      </c>
      <c r="D25" s="12">
        <v>2500</v>
      </c>
      <c r="E25" s="12">
        <v>666.09</v>
      </c>
      <c r="F25" s="12">
        <v>1710</v>
      </c>
      <c r="G25" s="12">
        <v>0</v>
      </c>
      <c r="H25" s="60">
        <v>550</v>
      </c>
      <c r="I25" s="30">
        <v>2169</v>
      </c>
      <c r="J25" s="12">
        <v>0</v>
      </c>
    </row>
    <row r="26" spans="1:10">
      <c r="A26" t="s">
        <v>28</v>
      </c>
      <c r="D26" s="12"/>
      <c r="E26" s="12"/>
      <c r="F26" s="12"/>
      <c r="G26" s="12"/>
      <c r="H26" s="58"/>
      <c r="I26" s="12"/>
      <c r="J26" s="12"/>
    </row>
    <row r="27" spans="1:10">
      <c r="A27" t="s">
        <v>282</v>
      </c>
      <c r="B27" t="s">
        <v>199</v>
      </c>
      <c r="D27" s="12">
        <v>1000</v>
      </c>
      <c r="E27" s="12">
        <v>257.48</v>
      </c>
      <c r="F27" s="12">
        <v>517</v>
      </c>
      <c r="G27" s="12">
        <v>1144</v>
      </c>
      <c r="H27" s="58">
        <v>299</v>
      </c>
      <c r="I27" s="12">
        <v>683</v>
      </c>
      <c r="J27" s="12"/>
    </row>
    <row r="28" spans="1:10">
      <c r="A28" t="s">
        <v>283</v>
      </c>
      <c r="B28" t="s">
        <v>200</v>
      </c>
      <c r="D28" s="12">
        <v>750</v>
      </c>
      <c r="E28" s="12">
        <v>100</v>
      </c>
      <c r="F28" s="12">
        <v>0</v>
      </c>
      <c r="G28" s="12">
        <v>0</v>
      </c>
      <c r="H28" s="60">
        <v>0</v>
      </c>
      <c r="I28" s="12">
        <v>0</v>
      </c>
      <c r="J28" s="12">
        <v>366</v>
      </c>
    </row>
    <row r="29" spans="1:10">
      <c r="A29" t="s">
        <v>284</v>
      </c>
      <c r="B29" t="s">
        <v>207</v>
      </c>
      <c r="D29" s="12">
        <v>600</v>
      </c>
      <c r="E29" s="12">
        <v>194.09</v>
      </c>
      <c r="F29" s="12">
        <v>360</v>
      </c>
      <c r="G29" s="12">
        <v>1245</v>
      </c>
      <c r="H29" s="60">
        <v>323</v>
      </c>
      <c r="I29" s="12">
        <v>524</v>
      </c>
      <c r="J29" s="12">
        <v>3108</v>
      </c>
    </row>
    <row r="30" spans="1:10">
      <c r="A30" t="s">
        <v>20</v>
      </c>
      <c r="D30" s="12"/>
      <c r="E30" s="12"/>
      <c r="F30" s="12"/>
      <c r="G30" s="12"/>
      <c r="H30" s="58"/>
      <c r="I30" s="12"/>
      <c r="J30" s="12"/>
    </row>
    <row r="31" spans="1:10">
      <c r="A31" t="s">
        <v>285</v>
      </c>
      <c r="B31" t="s">
        <v>27</v>
      </c>
      <c r="D31" s="12">
        <v>0</v>
      </c>
      <c r="E31" s="12">
        <v>0</v>
      </c>
      <c r="F31" s="12">
        <v>0</v>
      </c>
      <c r="G31" s="12">
        <v>0</v>
      </c>
      <c r="H31" s="12">
        <v>0</v>
      </c>
      <c r="I31" s="12">
        <v>0</v>
      </c>
      <c r="J31" s="12">
        <v>0</v>
      </c>
    </row>
    <row r="32" spans="1:10">
      <c r="A32" t="s">
        <v>9</v>
      </c>
      <c r="D32" s="12"/>
      <c r="E32" s="12"/>
      <c r="F32" s="12"/>
      <c r="G32" s="12"/>
      <c r="H32" s="12"/>
      <c r="I32" s="12"/>
      <c r="J32" s="12"/>
    </row>
    <row r="33" spans="1:10">
      <c r="A33" t="s">
        <v>286</v>
      </c>
      <c r="B33" t="s">
        <v>11</v>
      </c>
      <c r="D33" s="58">
        <f>1224*103%</f>
        <v>1260.72</v>
      </c>
      <c r="E33" s="58">
        <v>1275</v>
      </c>
      <c r="F33" s="58">
        <v>1200</v>
      </c>
      <c r="G33" s="58">
        <v>1180</v>
      </c>
      <c r="H33" s="60">
        <v>1076</v>
      </c>
      <c r="I33" s="58">
        <v>1076</v>
      </c>
      <c r="J33" s="12">
        <v>1041</v>
      </c>
    </row>
    <row r="34" spans="1:10">
      <c r="A34" t="s">
        <v>287</v>
      </c>
      <c r="B34" t="s">
        <v>15</v>
      </c>
      <c r="D34" s="58">
        <v>9000</v>
      </c>
      <c r="E34" s="58">
        <v>4193.5</v>
      </c>
      <c r="F34" s="58">
        <v>5956</v>
      </c>
      <c r="G34" s="58">
        <v>4298</v>
      </c>
      <c r="H34" s="58">
        <v>8167</v>
      </c>
      <c r="I34" s="58">
        <v>11294</v>
      </c>
      <c r="J34" s="12">
        <v>6370</v>
      </c>
    </row>
    <row r="35" spans="1:10">
      <c r="A35" s="41" t="s">
        <v>941</v>
      </c>
      <c r="B35" t="s">
        <v>125</v>
      </c>
      <c r="D35" s="58">
        <v>0</v>
      </c>
      <c r="E35" s="58">
        <f>3918+96.16</f>
        <v>4014.16</v>
      </c>
      <c r="F35" s="58">
        <v>2095</v>
      </c>
      <c r="G35" s="58">
        <v>61</v>
      </c>
      <c r="H35" s="58">
        <v>0</v>
      </c>
      <c r="I35" s="58">
        <v>17</v>
      </c>
      <c r="J35" s="12">
        <v>19</v>
      </c>
    </row>
    <row r="36" spans="1:10">
      <c r="A36" t="s">
        <v>8</v>
      </c>
      <c r="D36" s="58"/>
      <c r="E36" s="58"/>
      <c r="F36" s="58"/>
      <c r="G36" s="58"/>
      <c r="H36" s="58"/>
      <c r="I36" s="58"/>
      <c r="J36" s="12"/>
    </row>
    <row r="37" spans="1:10">
      <c r="A37" t="s">
        <v>288</v>
      </c>
      <c r="B37" t="s">
        <v>119</v>
      </c>
      <c r="D37" s="58">
        <v>1000</v>
      </c>
      <c r="E37" s="58">
        <v>564.79999999999995</v>
      </c>
      <c r="F37" s="58">
        <v>746</v>
      </c>
      <c r="G37" s="58">
        <v>780</v>
      </c>
      <c r="H37" s="58">
        <v>734</v>
      </c>
      <c r="I37" s="58">
        <v>924</v>
      </c>
      <c r="J37" s="12">
        <v>926</v>
      </c>
    </row>
    <row r="38" spans="1:10">
      <c r="A38" t="s">
        <v>289</v>
      </c>
      <c r="B38" t="s">
        <v>120</v>
      </c>
      <c r="D38" s="58">
        <v>250</v>
      </c>
      <c r="E38" s="58">
        <v>15.01</v>
      </c>
      <c r="F38" s="58">
        <v>0</v>
      </c>
      <c r="G38" s="58">
        <v>175</v>
      </c>
      <c r="H38" s="60">
        <v>101</v>
      </c>
      <c r="I38" s="58">
        <v>176</v>
      </c>
      <c r="J38" s="12">
        <v>3</v>
      </c>
    </row>
    <row r="39" spans="1:10">
      <c r="A39" t="s">
        <v>193</v>
      </c>
      <c r="D39" s="58"/>
      <c r="E39" s="58"/>
      <c r="F39" s="58"/>
      <c r="G39" s="58"/>
      <c r="H39" s="58"/>
      <c r="I39" s="58"/>
      <c r="J39" s="12"/>
    </row>
    <row r="40" spans="1:10">
      <c r="A40" t="s">
        <v>290</v>
      </c>
      <c r="B40" t="s">
        <v>195</v>
      </c>
      <c r="D40" s="58">
        <v>0</v>
      </c>
      <c r="E40" s="58">
        <v>29.58</v>
      </c>
      <c r="F40" s="58">
        <v>0</v>
      </c>
      <c r="G40" s="58">
        <v>0</v>
      </c>
      <c r="H40" s="58">
        <v>0</v>
      </c>
      <c r="I40" s="58">
        <v>301</v>
      </c>
      <c r="J40" s="12">
        <v>332</v>
      </c>
    </row>
    <row r="41" spans="1:10">
      <c r="A41" t="s">
        <v>186</v>
      </c>
      <c r="D41" s="58"/>
      <c r="E41" s="58"/>
      <c r="F41" s="58"/>
      <c r="G41" s="58"/>
      <c r="H41" s="58"/>
      <c r="I41" s="58"/>
      <c r="J41" s="12"/>
    </row>
    <row r="42" spans="1:10">
      <c r="A42" t="s">
        <v>291</v>
      </c>
      <c r="B42" t="s">
        <v>191</v>
      </c>
      <c r="D42" s="58">
        <v>0</v>
      </c>
      <c r="E42" s="58">
        <v>0</v>
      </c>
      <c r="F42" s="58">
        <v>0</v>
      </c>
      <c r="G42" s="58">
        <v>0</v>
      </c>
      <c r="H42" s="58">
        <v>0</v>
      </c>
      <c r="I42" s="58">
        <v>0</v>
      </c>
      <c r="J42" s="12">
        <v>126</v>
      </c>
    </row>
    <row r="43" spans="1:10">
      <c r="A43" t="s">
        <v>180</v>
      </c>
      <c r="D43" s="58"/>
      <c r="E43" s="58"/>
      <c r="F43" s="58"/>
      <c r="G43" s="58"/>
      <c r="H43" s="58"/>
      <c r="I43" s="58"/>
      <c r="J43" s="12"/>
    </row>
    <row r="44" spans="1:10">
      <c r="A44" t="s">
        <v>292</v>
      </c>
      <c r="B44" t="s">
        <v>183</v>
      </c>
      <c r="D44" s="58">
        <v>0</v>
      </c>
      <c r="E44" s="58">
        <v>113.6</v>
      </c>
      <c r="F44" s="58">
        <v>54</v>
      </c>
      <c r="G44" s="58">
        <v>46</v>
      </c>
      <c r="H44" s="58">
        <v>0</v>
      </c>
      <c r="I44" s="58">
        <v>0</v>
      </c>
      <c r="J44" s="12">
        <v>0</v>
      </c>
    </row>
    <row r="45" spans="1:10">
      <c r="A45" t="s">
        <v>173</v>
      </c>
      <c r="D45" s="58"/>
      <c r="E45" s="58"/>
      <c r="F45" s="58"/>
      <c r="G45" s="58"/>
      <c r="H45" s="58"/>
      <c r="I45" s="58"/>
      <c r="J45" s="12"/>
    </row>
    <row r="46" spans="1:10">
      <c r="A46" t="s">
        <v>673</v>
      </c>
      <c r="B46" t="s">
        <v>115</v>
      </c>
      <c r="D46" s="57">
        <f>923*110%</f>
        <v>1015.3000000000001</v>
      </c>
      <c r="E46" s="57">
        <v>962.55</v>
      </c>
      <c r="F46" s="57">
        <v>713</v>
      </c>
      <c r="G46" s="57">
        <v>913</v>
      </c>
      <c r="H46" s="58">
        <v>1108</v>
      </c>
      <c r="I46" s="58">
        <v>879</v>
      </c>
      <c r="J46" s="12">
        <v>0</v>
      </c>
    </row>
    <row r="47" spans="1:10">
      <c r="A47" t="s">
        <v>674</v>
      </c>
      <c r="B47" t="s">
        <v>675</v>
      </c>
      <c r="D47" s="57">
        <f>310*107%</f>
        <v>331.70000000000005</v>
      </c>
      <c r="E47" s="57">
        <v>310</v>
      </c>
      <c r="F47" s="57">
        <v>218</v>
      </c>
      <c r="G47" s="57">
        <v>298</v>
      </c>
      <c r="H47" s="58">
        <v>294</v>
      </c>
      <c r="I47" s="58">
        <v>567</v>
      </c>
      <c r="J47" s="12">
        <v>0</v>
      </c>
    </row>
    <row r="48" spans="1:10">
      <c r="A48" t="s">
        <v>293</v>
      </c>
      <c r="B48" t="s">
        <v>177</v>
      </c>
      <c r="D48" s="57">
        <f>836*105%</f>
        <v>877.80000000000007</v>
      </c>
      <c r="E48" s="57">
        <v>836</v>
      </c>
      <c r="F48" s="57">
        <v>638</v>
      </c>
      <c r="G48" s="57">
        <v>882</v>
      </c>
      <c r="H48" s="58">
        <v>936</v>
      </c>
      <c r="I48" s="58">
        <v>974</v>
      </c>
      <c r="J48" s="12">
        <v>1106</v>
      </c>
    </row>
    <row r="49" spans="1:10">
      <c r="A49" t="s">
        <v>163</v>
      </c>
      <c r="D49" s="58"/>
      <c r="E49" s="58"/>
      <c r="F49" s="58"/>
      <c r="G49" s="58"/>
      <c r="H49" s="58"/>
      <c r="I49" s="58"/>
      <c r="J49" s="12"/>
    </row>
    <row r="50" spans="1:10">
      <c r="A50" t="s">
        <v>294</v>
      </c>
      <c r="B50" t="s">
        <v>164</v>
      </c>
      <c r="D50" s="57">
        <f>1954*109%</f>
        <v>2129.86</v>
      </c>
      <c r="E50" s="57">
        <v>1088.44</v>
      </c>
      <c r="F50" s="57">
        <v>956</v>
      </c>
      <c r="G50" s="57">
        <v>1544</v>
      </c>
      <c r="H50" s="58">
        <v>1869</v>
      </c>
      <c r="I50" s="58">
        <v>2028</v>
      </c>
      <c r="J50" s="12">
        <v>2338</v>
      </c>
    </row>
    <row r="51" spans="1:10">
      <c r="A51" t="s">
        <v>295</v>
      </c>
      <c r="B51" t="s">
        <v>165</v>
      </c>
      <c r="D51" s="58"/>
      <c r="E51" s="58"/>
      <c r="F51" s="58"/>
      <c r="G51" s="58"/>
      <c r="H51" s="58"/>
      <c r="I51" s="58"/>
      <c r="J51" s="12"/>
    </row>
    <row r="52" spans="1:10">
      <c r="A52" t="s">
        <v>296</v>
      </c>
      <c r="B52" t="s">
        <v>166</v>
      </c>
      <c r="D52" s="58">
        <v>1000</v>
      </c>
      <c r="E52" s="58">
        <v>135.61000000000001</v>
      </c>
      <c r="F52" s="58">
        <v>522</v>
      </c>
      <c r="G52" s="58">
        <v>863</v>
      </c>
      <c r="H52" s="58">
        <v>3413</v>
      </c>
      <c r="I52" s="58">
        <v>3813</v>
      </c>
      <c r="J52" s="12">
        <v>3127</v>
      </c>
    </row>
    <row r="53" spans="1:10">
      <c r="A53" t="s">
        <v>665</v>
      </c>
      <c r="D53" s="58"/>
      <c r="E53" s="58"/>
      <c r="F53" s="58"/>
      <c r="G53" s="58"/>
      <c r="H53" s="58"/>
      <c r="I53" s="58"/>
      <c r="J53" s="12"/>
    </row>
    <row r="54" spans="1:10">
      <c r="A54" s="19" t="s">
        <v>696</v>
      </c>
      <c r="B54" t="s">
        <v>724</v>
      </c>
      <c r="D54" s="58">
        <v>0</v>
      </c>
      <c r="E54" s="58">
        <v>0</v>
      </c>
      <c r="F54" s="58">
        <v>0</v>
      </c>
      <c r="G54" s="58">
        <v>0</v>
      </c>
      <c r="H54" s="58">
        <v>0</v>
      </c>
      <c r="I54" s="58">
        <v>0</v>
      </c>
      <c r="J54" s="12">
        <v>27321</v>
      </c>
    </row>
    <row r="55" spans="1:10">
      <c r="A55" s="19" t="s">
        <v>697</v>
      </c>
      <c r="B55" t="s">
        <v>693</v>
      </c>
      <c r="D55" s="58">
        <v>2000</v>
      </c>
      <c r="E55" s="58">
        <v>2840</v>
      </c>
      <c r="F55" s="58">
        <v>11685</v>
      </c>
      <c r="G55" s="58">
        <v>0</v>
      </c>
      <c r="H55" s="58">
        <v>0</v>
      </c>
      <c r="I55" s="58">
        <v>0</v>
      </c>
      <c r="J55" s="12">
        <v>2954</v>
      </c>
    </row>
    <row r="56" spans="1:10">
      <c r="A56" t="s">
        <v>157</v>
      </c>
      <c r="D56" s="58"/>
      <c r="E56" s="58"/>
      <c r="F56" s="58"/>
      <c r="G56" s="58"/>
      <c r="H56" s="58"/>
      <c r="I56" s="58"/>
      <c r="J56" s="12"/>
    </row>
    <row r="57" spans="1:10">
      <c r="A57" t="s">
        <v>297</v>
      </c>
      <c r="B57" t="s">
        <v>158</v>
      </c>
      <c r="D57" s="58">
        <v>0</v>
      </c>
      <c r="E57" s="58">
        <v>0</v>
      </c>
      <c r="F57" s="58">
        <v>0</v>
      </c>
      <c r="G57" s="58">
        <v>0</v>
      </c>
      <c r="H57" s="60">
        <v>0</v>
      </c>
      <c r="I57" s="58">
        <v>0</v>
      </c>
      <c r="J57" s="12">
        <v>0</v>
      </c>
    </row>
    <row r="58" spans="1:10">
      <c r="A58" t="s">
        <v>298</v>
      </c>
      <c r="B58" t="s">
        <v>160</v>
      </c>
      <c r="D58" s="58">
        <v>0</v>
      </c>
      <c r="E58" s="58">
        <v>0</v>
      </c>
      <c r="F58" s="58">
        <v>0</v>
      </c>
      <c r="G58" s="58">
        <v>0</v>
      </c>
      <c r="H58" s="58">
        <v>0</v>
      </c>
      <c r="I58" s="58">
        <v>0</v>
      </c>
      <c r="J58" s="12">
        <v>0</v>
      </c>
    </row>
    <row r="59" spans="1:10">
      <c r="A59" t="s">
        <v>151</v>
      </c>
      <c r="D59" s="58"/>
      <c r="E59" s="58"/>
      <c r="F59" s="58"/>
      <c r="G59" s="58"/>
      <c r="H59" s="58"/>
      <c r="I59" s="58"/>
      <c r="J59" s="12"/>
    </row>
    <row r="60" spans="1:10">
      <c r="A60" t="s">
        <v>969</v>
      </c>
      <c r="B60" t="s">
        <v>155</v>
      </c>
      <c r="D60" s="58">
        <v>0</v>
      </c>
      <c r="E60" s="58">
        <v>600</v>
      </c>
      <c r="F60" s="58">
        <v>0</v>
      </c>
      <c r="G60" s="58">
        <v>0</v>
      </c>
      <c r="H60" s="58">
        <v>0</v>
      </c>
      <c r="I60" s="58">
        <v>0</v>
      </c>
      <c r="J60" s="12">
        <v>0</v>
      </c>
    </row>
    <row r="61" spans="1:10">
      <c r="A61" t="s">
        <v>299</v>
      </c>
      <c r="B61" t="s">
        <v>125</v>
      </c>
      <c r="D61" s="58">
        <v>0</v>
      </c>
      <c r="E61" s="58">
        <v>0</v>
      </c>
      <c r="F61" s="58">
        <v>0</v>
      </c>
      <c r="G61" s="58">
        <v>0</v>
      </c>
      <c r="H61" s="58">
        <v>0</v>
      </c>
      <c r="I61" s="58">
        <v>0</v>
      </c>
      <c r="J61" s="12">
        <v>0</v>
      </c>
    </row>
    <row r="62" spans="1:10">
      <c r="A62" t="s">
        <v>148</v>
      </c>
      <c r="D62" s="58"/>
      <c r="E62" s="58"/>
      <c r="F62" s="58"/>
      <c r="G62" s="58"/>
      <c r="H62" s="58"/>
      <c r="I62" s="58"/>
      <c r="J62" s="12"/>
    </row>
    <row r="63" spans="1:10">
      <c r="A63" t="s">
        <v>300</v>
      </c>
      <c r="B63" t="s">
        <v>149</v>
      </c>
      <c r="D63" s="58">
        <v>10129</v>
      </c>
      <c r="E63" s="58">
        <v>0</v>
      </c>
      <c r="F63" s="58">
        <v>0</v>
      </c>
      <c r="G63" s="58">
        <v>0</v>
      </c>
      <c r="H63" s="58">
        <v>0</v>
      </c>
      <c r="I63" s="61">
        <v>0</v>
      </c>
      <c r="J63" s="12">
        <v>0</v>
      </c>
    </row>
    <row r="64" spans="1:10">
      <c r="A64" t="s">
        <v>141</v>
      </c>
      <c r="D64" s="58"/>
      <c r="E64" s="58"/>
      <c r="F64" s="58"/>
      <c r="G64" s="58"/>
      <c r="H64" s="58"/>
      <c r="I64" s="58"/>
      <c r="J64" s="12"/>
    </row>
    <row r="65" spans="1:10">
      <c r="A65" t="s">
        <v>301</v>
      </c>
      <c r="B65" t="s">
        <v>124</v>
      </c>
      <c r="D65" s="58">
        <v>4000</v>
      </c>
      <c r="E65" s="58">
        <v>2219.62</v>
      </c>
      <c r="F65" s="58">
        <v>2995</v>
      </c>
      <c r="G65" s="58">
        <v>2171</v>
      </c>
      <c r="H65" s="60">
        <v>1928</v>
      </c>
      <c r="I65" s="58">
        <v>1768</v>
      </c>
      <c r="J65" s="12">
        <v>3237</v>
      </c>
    </row>
    <row r="66" spans="1:10">
      <c r="A66" t="s">
        <v>803</v>
      </c>
      <c r="B66" t="s">
        <v>822</v>
      </c>
      <c r="D66" s="58"/>
      <c r="E66" s="58"/>
      <c r="F66" s="58"/>
      <c r="G66" s="58"/>
      <c r="H66" s="60"/>
      <c r="I66" s="58"/>
      <c r="J66" s="12"/>
    </row>
    <row r="67" spans="1:10">
      <c r="A67" t="s">
        <v>302</v>
      </c>
      <c r="B67" t="s">
        <v>122</v>
      </c>
      <c r="D67" s="58">
        <v>1000</v>
      </c>
      <c r="E67" s="58">
        <v>1210.67</v>
      </c>
      <c r="F67" s="58">
        <v>340</v>
      </c>
      <c r="G67" s="58">
        <v>666</v>
      </c>
      <c r="H67" s="60">
        <v>0</v>
      </c>
      <c r="I67" s="58">
        <v>1974</v>
      </c>
      <c r="J67" s="12">
        <v>1462</v>
      </c>
    </row>
    <row r="68" spans="1:10">
      <c r="A68" t="s">
        <v>80</v>
      </c>
      <c r="B68" t="s">
        <v>81</v>
      </c>
      <c r="D68" s="58">
        <v>0</v>
      </c>
      <c r="E68" s="58">
        <v>46.44</v>
      </c>
      <c r="F68" s="58">
        <v>46</v>
      </c>
      <c r="G68" s="58">
        <v>0</v>
      </c>
      <c r="H68" s="58">
        <v>1250</v>
      </c>
      <c r="I68" s="58">
        <v>88</v>
      </c>
      <c r="J68" s="12">
        <v>7</v>
      </c>
    </row>
    <row r="69" spans="1:10">
      <c r="A69" t="s">
        <v>303</v>
      </c>
      <c r="B69" t="s">
        <v>142</v>
      </c>
      <c r="D69" s="58">
        <v>1000</v>
      </c>
      <c r="E69" s="58">
        <v>640.32000000000005</v>
      </c>
      <c r="F69" s="58">
        <v>672</v>
      </c>
      <c r="G69" s="58">
        <v>842</v>
      </c>
      <c r="H69" s="58">
        <v>1579</v>
      </c>
      <c r="I69" s="58">
        <v>2268</v>
      </c>
      <c r="J69" s="12">
        <v>2487</v>
      </c>
    </row>
    <row r="70" spans="1:10">
      <c r="A70" t="s">
        <v>304</v>
      </c>
      <c r="B70" t="s">
        <v>145</v>
      </c>
      <c r="D70" s="58">
        <v>3000</v>
      </c>
      <c r="E70" s="58">
        <v>1881.13</v>
      </c>
      <c r="F70" s="58">
        <v>2948</v>
      </c>
      <c r="G70" s="58">
        <v>3062</v>
      </c>
      <c r="H70" s="60">
        <v>2096</v>
      </c>
      <c r="I70" s="58">
        <v>1329</v>
      </c>
      <c r="J70" s="12">
        <v>3200</v>
      </c>
    </row>
    <row r="71" spans="1:10">
      <c r="D71" s="12"/>
      <c r="E71" s="58"/>
      <c r="F71" s="58"/>
      <c r="G71" s="58"/>
      <c r="H71" s="58"/>
      <c r="I71" s="58"/>
      <c r="J71" s="12"/>
    </row>
    <row r="72" spans="1:10">
      <c r="A72" s="49"/>
      <c r="B72" s="39" t="s">
        <v>77</v>
      </c>
      <c r="D72" s="12">
        <f>SUM(D4:D70)</f>
        <v>167016.93203199998</v>
      </c>
      <c r="E72" s="57">
        <f t="shared" ref="E72:J72" si="0">SUM(E4:E71)</f>
        <v>119886.66</v>
      </c>
      <c r="F72" s="57">
        <f t="shared" si="0"/>
        <v>189256.622</v>
      </c>
      <c r="G72" s="57">
        <f t="shared" si="0"/>
        <v>169329.557</v>
      </c>
      <c r="H72" s="60">
        <f t="shared" si="0"/>
        <v>170975</v>
      </c>
      <c r="I72" s="57">
        <f t="shared" si="0"/>
        <v>173374.95</v>
      </c>
      <c r="J72" s="12">
        <f t="shared" si="0"/>
        <v>196119</v>
      </c>
    </row>
    <row r="73" spans="1:10">
      <c r="A73" s="59"/>
      <c r="I73" s="16"/>
      <c r="J73" s="12"/>
    </row>
    <row r="74" spans="1:10">
      <c r="A74" s="49"/>
    </row>
  </sheetData>
  <phoneticPr fontId="2" type="noConversion"/>
  <pageMargins left="0.25" right="0.25" top="0.75" bottom="0.75" header="0.3" footer="0.3"/>
  <pageSetup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dimension ref="A1:J78"/>
  <sheetViews>
    <sheetView topLeftCell="A55" workbookViewId="0">
      <selection activeCell="J77" sqref="J77"/>
    </sheetView>
  </sheetViews>
  <sheetFormatPr defaultRowHeight="12.75"/>
  <cols>
    <col min="1" max="1" width="18.42578125" customWidth="1"/>
    <col min="2" max="2" width="27.42578125" customWidth="1"/>
    <col min="3" max="3" width="6.7109375" customWidth="1"/>
    <col min="4" max="4" width="11.7109375" customWidth="1"/>
    <col min="5" max="10" width="10.7109375" customWidth="1"/>
  </cols>
  <sheetData>
    <row r="1" spans="1:10" ht="15.75">
      <c r="B1" s="20" t="s">
        <v>654</v>
      </c>
      <c r="D1" s="21">
        <v>2013</v>
      </c>
      <c r="E1" s="74">
        <v>2012</v>
      </c>
      <c r="F1" s="74">
        <v>2011</v>
      </c>
      <c r="G1" s="25">
        <v>2010</v>
      </c>
      <c r="H1" s="74">
        <v>2009</v>
      </c>
      <c r="I1" s="24">
        <v>2008</v>
      </c>
      <c r="J1" s="24">
        <v>2007</v>
      </c>
    </row>
    <row r="2" spans="1:10">
      <c r="A2" t="s">
        <v>108</v>
      </c>
      <c r="D2" s="24" t="s">
        <v>676</v>
      </c>
      <c r="E2" s="74" t="s">
        <v>677</v>
      </c>
      <c r="F2" s="74" t="s">
        <v>677</v>
      </c>
      <c r="G2" s="74" t="s">
        <v>677</v>
      </c>
      <c r="H2" s="74" t="s">
        <v>677</v>
      </c>
      <c r="I2" s="25" t="s">
        <v>677</v>
      </c>
      <c r="J2" s="25" t="s">
        <v>677</v>
      </c>
    </row>
    <row r="3" spans="1:10">
      <c r="A3" t="s">
        <v>253</v>
      </c>
      <c r="G3" s="36"/>
    </row>
    <row r="4" spans="1:10">
      <c r="A4" t="s">
        <v>305</v>
      </c>
      <c r="B4" t="s">
        <v>63</v>
      </c>
      <c r="D4" s="30">
        <v>9000</v>
      </c>
      <c r="E4" s="30">
        <v>5700.82</v>
      </c>
      <c r="F4" s="30">
        <v>6420</v>
      </c>
      <c r="G4" s="30">
        <v>6650</v>
      </c>
      <c r="H4" s="12">
        <v>8846</v>
      </c>
      <c r="I4" s="12">
        <v>7340</v>
      </c>
      <c r="J4" s="29">
        <v>6848</v>
      </c>
    </row>
    <row r="5" spans="1:10">
      <c r="A5" t="s">
        <v>249</v>
      </c>
      <c r="D5" s="19"/>
      <c r="E5" s="19"/>
      <c r="F5" s="19"/>
      <c r="G5" s="19"/>
      <c r="H5" s="12"/>
      <c r="I5" s="12"/>
      <c r="J5" s="29"/>
    </row>
    <row r="6" spans="1:10">
      <c r="A6" t="s">
        <v>306</v>
      </c>
      <c r="B6" t="s">
        <v>111</v>
      </c>
      <c r="D6" s="12">
        <f>8000*0.062</f>
        <v>496</v>
      </c>
      <c r="E6" s="12">
        <v>344.93</v>
      </c>
      <c r="F6" s="12">
        <v>406</v>
      </c>
      <c r="G6" s="12">
        <v>225</v>
      </c>
      <c r="H6" s="12">
        <v>153</v>
      </c>
      <c r="I6" s="12">
        <v>449</v>
      </c>
      <c r="J6" s="29">
        <v>411</v>
      </c>
    </row>
    <row r="7" spans="1:10">
      <c r="A7" t="s">
        <v>307</v>
      </c>
      <c r="B7" t="s">
        <v>113</v>
      </c>
      <c r="D7" s="58">
        <f>8000*0.0145</f>
        <v>116</v>
      </c>
      <c r="E7" s="58">
        <v>82.66</v>
      </c>
      <c r="F7" s="58">
        <v>98</v>
      </c>
      <c r="G7" s="58">
        <v>29</v>
      </c>
      <c r="H7" s="58">
        <v>38</v>
      </c>
      <c r="I7" s="58">
        <v>106</v>
      </c>
      <c r="J7" s="29">
        <v>99</v>
      </c>
    </row>
    <row r="8" spans="1:10">
      <c r="A8" t="s">
        <v>308</v>
      </c>
      <c r="B8" t="s">
        <v>252</v>
      </c>
      <c r="C8" s="40"/>
      <c r="D8" s="61">
        <v>0</v>
      </c>
      <c r="E8" s="61">
        <v>0</v>
      </c>
      <c r="F8" s="61">
        <v>25</v>
      </c>
      <c r="G8" s="61">
        <v>0</v>
      </c>
      <c r="H8" s="58">
        <v>15</v>
      </c>
      <c r="I8" s="58">
        <v>26</v>
      </c>
      <c r="J8" s="29">
        <v>25</v>
      </c>
    </row>
    <row r="9" spans="1:10">
      <c r="A9" t="s">
        <v>309</v>
      </c>
      <c r="B9" t="s">
        <v>913</v>
      </c>
      <c r="C9" s="40"/>
      <c r="D9" s="61">
        <v>10000</v>
      </c>
      <c r="E9" s="61">
        <v>7152</v>
      </c>
      <c r="F9" s="61">
        <v>0</v>
      </c>
      <c r="G9" s="61">
        <v>0</v>
      </c>
      <c r="H9" s="58">
        <v>0</v>
      </c>
      <c r="I9" s="58">
        <v>0</v>
      </c>
      <c r="J9" s="29">
        <v>0</v>
      </c>
    </row>
    <row r="10" spans="1:10">
      <c r="A10" t="s">
        <v>309</v>
      </c>
      <c r="B10" t="s">
        <v>914</v>
      </c>
      <c r="D10" s="61">
        <v>6350</v>
      </c>
      <c r="E10" s="61">
        <v>0</v>
      </c>
      <c r="F10" s="61">
        <v>13254</v>
      </c>
      <c r="G10" s="61">
        <v>6411</v>
      </c>
      <c r="H10" s="58">
        <v>13124</v>
      </c>
      <c r="I10" s="58">
        <v>14589</v>
      </c>
      <c r="J10" s="29">
        <v>8655</v>
      </c>
    </row>
    <row r="11" spans="1:10">
      <c r="A11" t="s">
        <v>58</v>
      </c>
      <c r="D11" s="61"/>
      <c r="E11" s="61"/>
      <c r="F11" s="61"/>
      <c r="G11" s="61"/>
      <c r="H11" s="58"/>
      <c r="I11" s="58"/>
      <c r="J11" s="29"/>
    </row>
    <row r="12" spans="1:10">
      <c r="A12" t="s">
        <v>310</v>
      </c>
      <c r="B12" t="s">
        <v>243</v>
      </c>
      <c r="D12" s="61">
        <f>2304*106%</f>
        <v>2442.2400000000002</v>
      </c>
      <c r="E12" s="61">
        <v>2635</v>
      </c>
      <c r="F12" s="61">
        <v>4608</v>
      </c>
      <c r="G12" s="61">
        <v>2262</v>
      </c>
      <c r="H12" s="58">
        <v>1641</v>
      </c>
      <c r="I12" s="58">
        <v>1481</v>
      </c>
      <c r="J12" s="29">
        <v>1743</v>
      </c>
    </row>
    <row r="13" spans="1:10">
      <c r="A13" t="s">
        <v>44</v>
      </c>
      <c r="D13" s="59"/>
      <c r="E13" s="59"/>
      <c r="F13" s="59"/>
      <c r="G13" s="59"/>
      <c r="H13" s="58"/>
      <c r="I13" s="58"/>
      <c r="J13" s="29"/>
    </row>
    <row r="14" spans="1:10">
      <c r="A14" t="s">
        <v>709</v>
      </c>
      <c r="B14" t="s">
        <v>712</v>
      </c>
      <c r="D14" s="61">
        <v>0</v>
      </c>
      <c r="E14" s="61">
        <v>0</v>
      </c>
      <c r="F14" s="61">
        <v>0</v>
      </c>
      <c r="G14" s="61">
        <v>0</v>
      </c>
      <c r="H14" s="58">
        <v>0</v>
      </c>
      <c r="I14" s="58">
        <v>0</v>
      </c>
      <c r="J14" s="29">
        <v>28</v>
      </c>
    </row>
    <row r="15" spans="1:10">
      <c r="A15" s="19" t="s">
        <v>736</v>
      </c>
      <c r="B15" s="19" t="s">
        <v>737</v>
      </c>
      <c r="D15" s="61">
        <v>0</v>
      </c>
      <c r="E15" s="61">
        <v>32.9</v>
      </c>
      <c r="F15" s="61">
        <v>0</v>
      </c>
      <c r="G15" s="61">
        <v>0</v>
      </c>
      <c r="H15" s="58">
        <v>75</v>
      </c>
      <c r="I15" s="58">
        <v>76</v>
      </c>
      <c r="J15" s="29">
        <v>0</v>
      </c>
    </row>
    <row r="16" spans="1:10">
      <c r="A16" t="s">
        <v>710</v>
      </c>
      <c r="B16" t="s">
        <v>713</v>
      </c>
      <c r="D16" s="61">
        <v>0</v>
      </c>
      <c r="E16" s="61">
        <v>28.55</v>
      </c>
      <c r="F16" s="61">
        <v>0</v>
      </c>
      <c r="G16" s="61">
        <v>0</v>
      </c>
      <c r="H16" s="58">
        <v>0</v>
      </c>
      <c r="I16" s="58">
        <v>179</v>
      </c>
      <c r="J16" s="29">
        <v>240</v>
      </c>
    </row>
    <row r="17" spans="1:10">
      <c r="A17" t="s">
        <v>311</v>
      </c>
      <c r="B17" t="s">
        <v>57</v>
      </c>
      <c r="D17" s="61">
        <v>300</v>
      </c>
      <c r="E17" s="61">
        <v>29.95</v>
      </c>
      <c r="F17" s="61">
        <v>29</v>
      </c>
      <c r="G17" s="61">
        <v>470</v>
      </c>
      <c r="H17" s="60">
        <v>52</v>
      </c>
      <c r="I17" s="58">
        <v>296</v>
      </c>
      <c r="J17" s="29">
        <v>309</v>
      </c>
    </row>
    <row r="18" spans="1:10">
      <c r="A18" t="s">
        <v>208</v>
      </c>
      <c r="D18" s="61"/>
      <c r="E18" s="61"/>
      <c r="F18" s="61"/>
      <c r="G18" s="61"/>
      <c r="H18" s="58"/>
      <c r="I18" s="58"/>
      <c r="J18" s="29"/>
    </row>
    <row r="19" spans="1:10">
      <c r="A19" t="s">
        <v>711</v>
      </c>
      <c r="B19" s="19" t="s">
        <v>210</v>
      </c>
      <c r="D19" s="61">
        <v>0</v>
      </c>
      <c r="E19" s="61">
        <v>0</v>
      </c>
      <c r="F19" s="61">
        <v>41</v>
      </c>
      <c r="G19" s="61">
        <v>11</v>
      </c>
      <c r="H19" s="58">
        <v>0</v>
      </c>
      <c r="I19" s="58">
        <v>20</v>
      </c>
      <c r="J19" s="29">
        <v>35</v>
      </c>
    </row>
    <row r="20" spans="1:10">
      <c r="A20" t="s">
        <v>312</v>
      </c>
      <c r="B20" t="s">
        <v>212</v>
      </c>
      <c r="D20" s="61">
        <v>2100</v>
      </c>
      <c r="E20" s="61">
        <v>2211.8000000000002</v>
      </c>
      <c r="F20" s="61">
        <v>2080</v>
      </c>
      <c r="G20" s="61">
        <v>1373</v>
      </c>
      <c r="H20" s="58">
        <f>1163+480</f>
        <v>1643</v>
      </c>
      <c r="I20" s="58">
        <v>1921</v>
      </c>
      <c r="J20" s="29">
        <v>819</v>
      </c>
    </row>
    <row r="21" spans="1:10">
      <c r="A21" t="s">
        <v>313</v>
      </c>
      <c r="B21" t="s">
        <v>42</v>
      </c>
      <c r="D21" s="61">
        <v>1400</v>
      </c>
      <c r="E21" s="61">
        <v>0</v>
      </c>
      <c r="F21" s="61">
        <v>0</v>
      </c>
      <c r="G21" s="61">
        <v>19</v>
      </c>
      <c r="H21" s="60">
        <v>2336</v>
      </c>
      <c r="I21" s="58">
        <v>361</v>
      </c>
      <c r="J21" s="29">
        <v>0</v>
      </c>
    </row>
    <row r="22" spans="1:10">
      <c r="A22" t="s">
        <v>714</v>
      </c>
      <c r="B22" t="s">
        <v>43</v>
      </c>
      <c r="D22" s="61">
        <v>200</v>
      </c>
      <c r="E22" s="61">
        <v>562.94000000000005</v>
      </c>
      <c r="F22" s="61">
        <v>168</v>
      </c>
      <c r="G22" s="61">
        <v>62</v>
      </c>
      <c r="H22" s="58">
        <v>115</v>
      </c>
      <c r="I22" s="58">
        <v>310</v>
      </c>
      <c r="J22" s="29">
        <v>764</v>
      </c>
    </row>
    <row r="23" spans="1:10">
      <c r="D23" s="59"/>
      <c r="E23" s="59"/>
      <c r="F23" s="59"/>
      <c r="G23" s="59"/>
      <c r="H23" s="49"/>
      <c r="I23" s="49"/>
    </row>
    <row r="24" spans="1:10">
      <c r="A24" t="s">
        <v>28</v>
      </c>
      <c r="D24" s="61"/>
      <c r="E24" s="61"/>
      <c r="F24" s="61"/>
      <c r="G24" s="61"/>
      <c r="H24" s="58"/>
      <c r="I24" s="58"/>
      <c r="J24" s="29"/>
    </row>
    <row r="25" spans="1:10">
      <c r="A25" t="s">
        <v>314</v>
      </c>
      <c r="B25" t="s">
        <v>199</v>
      </c>
      <c r="D25" s="61">
        <v>1200</v>
      </c>
      <c r="E25" s="61">
        <v>96.07</v>
      </c>
      <c r="F25" s="61">
        <v>768</v>
      </c>
      <c r="G25" s="61">
        <v>259</v>
      </c>
      <c r="H25" s="58">
        <v>1203</v>
      </c>
      <c r="I25" s="58">
        <v>676</v>
      </c>
      <c r="J25" s="29">
        <v>1635</v>
      </c>
    </row>
    <row r="26" spans="1:10">
      <c r="A26" t="s">
        <v>315</v>
      </c>
      <c r="B26" t="s">
        <v>202</v>
      </c>
      <c r="D26" s="61">
        <v>1000</v>
      </c>
      <c r="E26" s="61">
        <v>93.63</v>
      </c>
      <c r="F26" s="61">
        <v>0</v>
      </c>
      <c r="G26" s="61">
        <v>42</v>
      </c>
      <c r="H26" s="58">
        <v>1025</v>
      </c>
      <c r="I26" s="58">
        <v>126</v>
      </c>
      <c r="J26" s="29">
        <v>0</v>
      </c>
    </row>
    <row r="27" spans="1:10">
      <c r="A27" t="s">
        <v>970</v>
      </c>
      <c r="B27" t="s">
        <v>971</v>
      </c>
      <c r="D27" s="61">
        <v>0</v>
      </c>
      <c r="E27" s="61">
        <v>2225.7199999999998</v>
      </c>
      <c r="F27" s="61">
        <v>0</v>
      </c>
      <c r="G27" s="61">
        <v>0</v>
      </c>
      <c r="H27" s="58">
        <v>0</v>
      </c>
      <c r="I27" s="58">
        <v>0</v>
      </c>
      <c r="J27" s="29">
        <v>0</v>
      </c>
    </row>
    <row r="28" spans="1:10">
      <c r="A28" t="s">
        <v>316</v>
      </c>
      <c r="B28" t="s">
        <v>207</v>
      </c>
      <c r="D28" s="61">
        <v>300</v>
      </c>
      <c r="E28" s="61">
        <v>45.12</v>
      </c>
      <c r="F28" s="61">
        <v>206</v>
      </c>
      <c r="G28" s="61">
        <v>315</v>
      </c>
      <c r="H28" s="58">
        <v>212</v>
      </c>
      <c r="I28" s="58">
        <v>284</v>
      </c>
      <c r="J28" s="29">
        <v>1878</v>
      </c>
    </row>
    <row r="29" spans="1:10">
      <c r="A29" t="s">
        <v>20</v>
      </c>
      <c r="D29" s="61"/>
      <c r="E29" s="61"/>
      <c r="F29" s="61"/>
      <c r="G29" s="61"/>
      <c r="H29" s="58"/>
      <c r="I29" s="58"/>
      <c r="J29" s="29"/>
    </row>
    <row r="30" spans="1:10">
      <c r="A30" t="s">
        <v>317</v>
      </c>
      <c r="B30" t="s">
        <v>27</v>
      </c>
      <c r="D30" s="61"/>
      <c r="E30" s="61"/>
      <c r="F30" s="61"/>
      <c r="G30" s="61"/>
      <c r="H30" s="58"/>
      <c r="I30" s="58"/>
      <c r="J30" s="29"/>
    </row>
    <row r="31" spans="1:10">
      <c r="A31" t="s">
        <v>9</v>
      </c>
      <c r="D31" s="61"/>
      <c r="E31" s="61"/>
      <c r="F31" s="61"/>
      <c r="G31" s="61"/>
      <c r="H31" s="58"/>
      <c r="I31" s="58"/>
      <c r="J31" s="29"/>
    </row>
    <row r="32" spans="1:10">
      <c r="A32" t="s">
        <v>318</v>
      </c>
      <c r="B32" t="s">
        <v>11</v>
      </c>
      <c r="D32" s="61">
        <f>1224*103%</f>
        <v>1260.72</v>
      </c>
      <c r="E32" s="61">
        <v>1275</v>
      </c>
      <c r="F32" s="61">
        <v>1200</v>
      </c>
      <c r="G32" s="61">
        <v>1180</v>
      </c>
      <c r="H32" s="60">
        <v>1076</v>
      </c>
      <c r="I32" s="58">
        <v>1076</v>
      </c>
      <c r="J32" s="29">
        <v>1041</v>
      </c>
    </row>
    <row r="33" spans="1:10">
      <c r="A33" t="s">
        <v>319</v>
      </c>
      <c r="B33" t="s">
        <v>17</v>
      </c>
      <c r="D33" s="61">
        <f>(16.5*24)+(40*33)</f>
        <v>1716</v>
      </c>
      <c r="E33" s="61">
        <v>0</v>
      </c>
      <c r="F33" s="61">
        <v>0</v>
      </c>
      <c r="G33" s="61">
        <v>0</v>
      </c>
      <c r="H33" s="58">
        <v>0</v>
      </c>
      <c r="I33" s="58">
        <v>0</v>
      </c>
      <c r="J33" s="29">
        <v>0</v>
      </c>
    </row>
    <row r="34" spans="1:10">
      <c r="A34" t="s">
        <v>320</v>
      </c>
      <c r="B34" t="s">
        <v>18</v>
      </c>
      <c r="D34" s="61">
        <v>2500</v>
      </c>
      <c r="E34" s="61">
        <v>2207.5</v>
      </c>
      <c r="F34" s="61">
        <v>2319</v>
      </c>
      <c r="G34" s="61">
        <v>2681</v>
      </c>
      <c r="H34" s="58">
        <v>990</v>
      </c>
      <c r="I34" s="58">
        <v>3163</v>
      </c>
      <c r="J34" s="29">
        <v>0</v>
      </c>
    </row>
    <row r="35" spans="1:10">
      <c r="A35" t="s">
        <v>321</v>
      </c>
      <c r="B35" t="s">
        <v>125</v>
      </c>
      <c r="D35" s="61">
        <v>500</v>
      </c>
      <c r="E35" s="61">
        <v>33.200000000000003</v>
      </c>
      <c r="F35" s="61">
        <v>0</v>
      </c>
      <c r="G35" s="61">
        <v>495</v>
      </c>
      <c r="H35" s="58">
        <v>1584</v>
      </c>
      <c r="I35" s="58">
        <v>325</v>
      </c>
      <c r="J35" s="29">
        <v>1913</v>
      </c>
    </row>
    <row r="36" spans="1:10">
      <c r="A36" t="s">
        <v>8</v>
      </c>
      <c r="D36" s="61"/>
      <c r="E36" s="61"/>
      <c r="F36" s="61"/>
      <c r="G36" s="61"/>
      <c r="H36" s="58"/>
      <c r="I36" s="58"/>
      <c r="J36" s="29"/>
    </row>
    <row r="37" spans="1:10">
      <c r="A37" t="s">
        <v>322</v>
      </c>
      <c r="B37" t="s">
        <v>119</v>
      </c>
      <c r="D37" s="61">
        <v>1125</v>
      </c>
      <c r="E37" s="61">
        <v>899.35</v>
      </c>
      <c r="F37" s="61">
        <v>1063</v>
      </c>
      <c r="G37" s="61">
        <v>1018</v>
      </c>
      <c r="H37" s="58">
        <v>1182</v>
      </c>
      <c r="I37" s="58">
        <v>960</v>
      </c>
      <c r="J37" s="29">
        <v>710</v>
      </c>
    </row>
    <row r="38" spans="1:10">
      <c r="A38" t="s">
        <v>323</v>
      </c>
      <c r="B38" t="s">
        <v>120</v>
      </c>
      <c r="D38" s="61">
        <v>50</v>
      </c>
      <c r="E38" s="61">
        <v>0</v>
      </c>
      <c r="F38" s="61">
        <v>0</v>
      </c>
      <c r="G38" s="61">
        <v>158</v>
      </c>
      <c r="H38" s="58">
        <v>253</v>
      </c>
      <c r="I38" s="58">
        <v>205</v>
      </c>
      <c r="J38" s="29">
        <v>188</v>
      </c>
    </row>
    <row r="39" spans="1:10">
      <c r="A39" t="s">
        <v>324</v>
      </c>
      <c r="B39" t="s">
        <v>7</v>
      </c>
      <c r="D39" s="61">
        <v>0</v>
      </c>
      <c r="E39" s="61">
        <v>0</v>
      </c>
      <c r="F39" s="61">
        <v>0</v>
      </c>
      <c r="G39" s="61">
        <v>0</v>
      </c>
      <c r="H39" s="58">
        <v>0</v>
      </c>
      <c r="I39" s="58">
        <v>0</v>
      </c>
      <c r="J39" s="29">
        <v>377</v>
      </c>
    </row>
    <row r="40" spans="1:10">
      <c r="A40" t="s">
        <v>193</v>
      </c>
      <c r="D40" s="61"/>
      <c r="E40" s="61"/>
      <c r="F40" s="61"/>
      <c r="G40" s="61"/>
      <c r="H40" s="58"/>
      <c r="I40" s="58"/>
      <c r="J40" s="29"/>
    </row>
    <row r="41" spans="1:10">
      <c r="A41" t="s">
        <v>325</v>
      </c>
      <c r="B41" t="s">
        <v>195</v>
      </c>
      <c r="D41" s="61">
        <v>250</v>
      </c>
      <c r="E41" s="61">
        <v>99</v>
      </c>
      <c r="F41" s="61">
        <v>224</v>
      </c>
      <c r="G41" s="61">
        <v>130</v>
      </c>
      <c r="H41" s="60">
        <v>234</v>
      </c>
      <c r="I41" s="58">
        <v>148</v>
      </c>
      <c r="J41" s="29">
        <v>0</v>
      </c>
    </row>
    <row r="42" spans="1:10">
      <c r="A42" t="s">
        <v>186</v>
      </c>
      <c r="D42" s="61"/>
      <c r="E42" s="61"/>
      <c r="F42" s="61"/>
      <c r="G42" s="61"/>
      <c r="H42" s="58"/>
      <c r="I42" s="58"/>
      <c r="J42" s="29"/>
    </row>
    <row r="43" spans="1:10">
      <c r="A43" t="s">
        <v>715</v>
      </c>
      <c r="B43" t="s">
        <v>188</v>
      </c>
      <c r="D43" s="61">
        <v>0</v>
      </c>
      <c r="E43" s="61">
        <v>0</v>
      </c>
      <c r="F43" s="61">
        <v>0</v>
      </c>
      <c r="G43" s="61">
        <v>0</v>
      </c>
      <c r="H43" s="58">
        <v>0</v>
      </c>
      <c r="I43" s="58">
        <v>0</v>
      </c>
      <c r="J43" s="29">
        <v>60</v>
      </c>
    </row>
    <row r="44" spans="1:10">
      <c r="A44" t="s">
        <v>326</v>
      </c>
      <c r="B44" t="s">
        <v>190</v>
      </c>
      <c r="D44" s="61">
        <v>100</v>
      </c>
      <c r="E44" s="61">
        <v>0</v>
      </c>
      <c r="F44" s="61">
        <v>140</v>
      </c>
      <c r="G44" s="61">
        <v>0</v>
      </c>
      <c r="H44" s="58">
        <v>195</v>
      </c>
      <c r="I44" s="58">
        <v>0</v>
      </c>
      <c r="J44" s="29">
        <v>0</v>
      </c>
    </row>
    <row r="45" spans="1:10">
      <c r="A45" t="s">
        <v>327</v>
      </c>
      <c r="B45" t="s">
        <v>191</v>
      </c>
      <c r="D45" s="61">
        <v>50</v>
      </c>
      <c r="E45" s="61">
        <v>142</v>
      </c>
      <c r="F45" s="61">
        <v>0</v>
      </c>
      <c r="G45" s="61">
        <v>0</v>
      </c>
      <c r="H45" s="58">
        <v>0</v>
      </c>
      <c r="I45" s="58">
        <v>0</v>
      </c>
      <c r="J45" s="29">
        <v>87</v>
      </c>
    </row>
    <row r="46" spans="1:10">
      <c r="A46" t="s">
        <v>180</v>
      </c>
      <c r="D46" s="61"/>
      <c r="E46" s="61"/>
      <c r="F46" s="61"/>
      <c r="G46" s="61"/>
      <c r="H46" s="58"/>
      <c r="I46" s="58"/>
      <c r="J46" s="29"/>
    </row>
    <row r="47" spans="1:10">
      <c r="A47" t="s">
        <v>328</v>
      </c>
      <c r="B47" t="s">
        <v>183</v>
      </c>
      <c r="D47" s="61">
        <v>0</v>
      </c>
      <c r="E47" s="61">
        <v>0</v>
      </c>
      <c r="F47" s="61">
        <v>0</v>
      </c>
      <c r="G47" s="61">
        <v>0</v>
      </c>
      <c r="H47" s="58">
        <v>135</v>
      </c>
      <c r="I47" s="58">
        <v>18</v>
      </c>
      <c r="J47" s="29">
        <v>0</v>
      </c>
    </row>
    <row r="48" spans="1:10">
      <c r="A48" t="s">
        <v>173</v>
      </c>
      <c r="D48" s="61"/>
      <c r="E48" s="61"/>
      <c r="F48" s="61"/>
      <c r="G48" s="61"/>
      <c r="H48" s="58"/>
      <c r="I48" s="58"/>
      <c r="J48" s="29"/>
    </row>
    <row r="49" spans="1:10">
      <c r="A49" t="s">
        <v>329</v>
      </c>
      <c r="B49" t="s">
        <v>115</v>
      </c>
      <c r="D49" s="61">
        <f>1130*110%</f>
        <v>1243</v>
      </c>
      <c r="E49" s="61">
        <v>1129.95</v>
      </c>
      <c r="F49" s="61">
        <v>858</v>
      </c>
      <c r="G49" s="61">
        <v>1111</v>
      </c>
      <c r="H49" s="58">
        <v>1000</v>
      </c>
      <c r="I49" s="58">
        <v>0</v>
      </c>
      <c r="J49" s="29">
        <v>1000</v>
      </c>
    </row>
    <row r="50" spans="1:10">
      <c r="A50" t="s">
        <v>330</v>
      </c>
      <c r="B50" t="s">
        <v>176</v>
      </c>
      <c r="D50" s="61">
        <f>634*107%</f>
        <v>678.38</v>
      </c>
      <c r="E50" s="61">
        <v>634</v>
      </c>
      <c r="F50" s="61">
        <v>449</v>
      </c>
      <c r="G50" s="61">
        <v>613</v>
      </c>
      <c r="H50" s="58">
        <v>604</v>
      </c>
      <c r="I50" s="58">
        <v>799</v>
      </c>
      <c r="J50" s="29">
        <v>757</v>
      </c>
    </row>
    <row r="51" spans="1:10">
      <c r="A51" t="s">
        <v>331</v>
      </c>
      <c r="B51" t="s">
        <v>177</v>
      </c>
      <c r="D51" s="61">
        <f>4048*105%</f>
        <v>4250.4000000000005</v>
      </c>
      <c r="E51" s="61">
        <v>4048</v>
      </c>
      <c r="F51" s="61">
        <v>3052</v>
      </c>
      <c r="G51" s="61">
        <v>4358</v>
      </c>
      <c r="H51" s="58">
        <v>4627</v>
      </c>
      <c r="I51" s="58">
        <v>4206</v>
      </c>
      <c r="J51" s="29">
        <v>4367</v>
      </c>
    </row>
    <row r="52" spans="1:10">
      <c r="A52" t="s">
        <v>163</v>
      </c>
      <c r="D52" s="61"/>
      <c r="E52" s="61"/>
      <c r="F52" s="61"/>
      <c r="G52" s="61"/>
      <c r="H52" s="58"/>
      <c r="I52" s="58"/>
      <c r="J52" s="29"/>
    </row>
    <row r="53" spans="1:10">
      <c r="A53" t="s">
        <v>332</v>
      </c>
      <c r="B53" t="s">
        <v>164</v>
      </c>
      <c r="D53" s="61">
        <f>1088*109%</f>
        <v>1185.92</v>
      </c>
      <c r="E53" s="61">
        <v>1403.44</v>
      </c>
      <c r="F53" s="61">
        <v>1088</v>
      </c>
      <c r="G53" s="61">
        <v>1282</v>
      </c>
      <c r="H53" s="58">
        <v>1189</v>
      </c>
      <c r="I53" s="58">
        <v>1110</v>
      </c>
      <c r="J53" s="29">
        <v>1182</v>
      </c>
    </row>
    <row r="54" spans="1:10">
      <c r="A54" t="s">
        <v>333</v>
      </c>
      <c r="B54" t="s">
        <v>165</v>
      </c>
      <c r="D54" s="61">
        <f>168*111%</f>
        <v>186.48000000000002</v>
      </c>
      <c r="E54" s="61">
        <v>186.07</v>
      </c>
      <c r="F54" s="61">
        <v>168</v>
      </c>
      <c r="G54" s="61">
        <v>157</v>
      </c>
      <c r="H54" s="58">
        <v>171</v>
      </c>
      <c r="I54" s="58">
        <v>112</v>
      </c>
      <c r="J54" s="29">
        <v>79</v>
      </c>
    </row>
    <row r="55" spans="1:10">
      <c r="A55" t="s">
        <v>334</v>
      </c>
      <c r="B55" t="s">
        <v>166</v>
      </c>
      <c r="D55" s="61">
        <v>3100</v>
      </c>
      <c r="E55" s="61">
        <v>2315.08</v>
      </c>
      <c r="F55" s="61">
        <v>3021</v>
      </c>
      <c r="G55" s="61">
        <v>2597</v>
      </c>
      <c r="H55" s="60">
        <v>0</v>
      </c>
      <c r="I55" s="58">
        <v>0</v>
      </c>
      <c r="J55" s="29">
        <v>10</v>
      </c>
    </row>
    <row r="56" spans="1:10">
      <c r="A56" t="s">
        <v>335</v>
      </c>
      <c r="B56" t="s">
        <v>168</v>
      </c>
      <c r="D56" s="61">
        <f>209*111%</f>
        <v>231.99</v>
      </c>
      <c r="E56" s="61">
        <v>234.02</v>
      </c>
      <c r="F56" s="61">
        <v>209</v>
      </c>
      <c r="G56" s="61">
        <v>212</v>
      </c>
      <c r="H56" s="58">
        <v>209</v>
      </c>
      <c r="I56" s="58">
        <v>117</v>
      </c>
      <c r="J56" s="29">
        <v>129</v>
      </c>
    </row>
    <row r="57" spans="1:10">
      <c r="A57" t="s">
        <v>665</v>
      </c>
      <c r="D57" s="61"/>
      <c r="E57" s="61"/>
      <c r="F57" s="61"/>
      <c r="G57" s="61"/>
      <c r="H57" s="58"/>
      <c r="I57" s="58"/>
      <c r="J57" s="29"/>
    </row>
    <row r="58" spans="1:10">
      <c r="A58" t="s">
        <v>666</v>
      </c>
      <c r="B58" t="s">
        <v>153</v>
      </c>
      <c r="D58" s="61">
        <v>5000</v>
      </c>
      <c r="E58" s="61">
        <v>1878.97</v>
      </c>
      <c r="F58" s="61">
        <v>0</v>
      </c>
      <c r="G58" s="61">
        <v>14726</v>
      </c>
      <c r="H58" s="58">
        <v>15985</v>
      </c>
      <c r="I58" s="58">
        <v>437</v>
      </c>
      <c r="J58" s="29">
        <v>0</v>
      </c>
    </row>
    <row r="59" spans="1:10">
      <c r="A59" t="s">
        <v>157</v>
      </c>
      <c r="D59" s="61"/>
      <c r="E59" s="61"/>
      <c r="F59" s="61"/>
      <c r="G59" s="61"/>
      <c r="H59" s="58"/>
      <c r="I59" s="58"/>
      <c r="J59" s="29"/>
    </row>
    <row r="60" spans="1:10">
      <c r="A60" t="s">
        <v>336</v>
      </c>
      <c r="B60" t="s">
        <v>158</v>
      </c>
      <c r="D60" s="61">
        <v>1000</v>
      </c>
      <c r="E60" s="61">
        <v>6463</v>
      </c>
      <c r="F60" s="61">
        <v>0</v>
      </c>
      <c r="G60" s="61">
        <v>0</v>
      </c>
      <c r="H60" s="58">
        <v>59</v>
      </c>
      <c r="I60" s="61">
        <v>8</v>
      </c>
      <c r="J60" s="29">
        <v>4918</v>
      </c>
    </row>
    <row r="61" spans="1:10">
      <c r="A61" t="s">
        <v>716</v>
      </c>
      <c r="B61" t="s">
        <v>160</v>
      </c>
      <c r="D61" s="61">
        <v>0</v>
      </c>
      <c r="E61" s="61">
        <v>152.75</v>
      </c>
      <c r="F61" s="61">
        <v>70</v>
      </c>
      <c r="G61" s="61">
        <v>0</v>
      </c>
      <c r="H61" s="58">
        <v>0</v>
      </c>
      <c r="I61" s="61">
        <v>863</v>
      </c>
      <c r="J61" s="29">
        <v>5363</v>
      </c>
    </row>
    <row r="62" spans="1:10">
      <c r="A62" t="s">
        <v>337</v>
      </c>
      <c r="B62" t="s">
        <v>161</v>
      </c>
      <c r="D62" s="61">
        <v>3000</v>
      </c>
      <c r="E62" s="61">
        <v>3331.24</v>
      </c>
      <c r="F62" s="61">
        <v>3026</v>
      </c>
      <c r="G62" s="61">
        <v>1280</v>
      </c>
      <c r="H62" s="60">
        <v>2791</v>
      </c>
      <c r="I62" s="58">
        <v>2450</v>
      </c>
      <c r="J62" s="29">
        <v>5558</v>
      </c>
    </row>
    <row r="63" spans="1:10">
      <c r="A63" t="s">
        <v>151</v>
      </c>
      <c r="D63" s="61"/>
      <c r="E63" s="61"/>
      <c r="F63" s="61"/>
      <c r="G63" s="61"/>
      <c r="H63" s="58"/>
      <c r="I63" s="58"/>
      <c r="J63" s="29"/>
    </row>
    <row r="64" spans="1:10">
      <c r="A64" t="s">
        <v>338</v>
      </c>
      <c r="B64" t="s">
        <v>153</v>
      </c>
      <c r="D64" s="61">
        <v>15000</v>
      </c>
      <c r="E64" s="61">
        <v>15000.48</v>
      </c>
      <c r="F64" s="61">
        <v>15000</v>
      </c>
      <c r="G64" s="61">
        <v>15000</v>
      </c>
      <c r="H64" s="58">
        <v>15000</v>
      </c>
      <c r="I64" s="58">
        <v>15000</v>
      </c>
      <c r="J64" s="29">
        <v>0</v>
      </c>
    </row>
    <row r="65" spans="1:10">
      <c r="A65" t="s">
        <v>339</v>
      </c>
      <c r="B65" t="s">
        <v>154</v>
      </c>
      <c r="D65" s="61">
        <v>0</v>
      </c>
      <c r="E65" s="61">
        <v>0</v>
      </c>
      <c r="F65" s="61">
        <v>0</v>
      </c>
      <c r="G65" s="61">
        <v>0</v>
      </c>
      <c r="H65" s="58">
        <v>0</v>
      </c>
      <c r="I65" s="58">
        <v>0</v>
      </c>
      <c r="J65" s="29">
        <v>0</v>
      </c>
    </row>
    <row r="66" spans="1:10">
      <c r="A66" t="s">
        <v>148</v>
      </c>
      <c r="D66" s="61"/>
      <c r="E66" s="61"/>
      <c r="F66" s="61"/>
      <c r="G66" s="61"/>
      <c r="H66" s="58"/>
      <c r="I66" s="58"/>
      <c r="J66" s="29"/>
    </row>
    <row r="67" spans="1:10">
      <c r="A67" t="s">
        <v>340</v>
      </c>
      <c r="B67" t="s">
        <v>149</v>
      </c>
      <c r="D67" s="61">
        <v>5000</v>
      </c>
      <c r="E67" s="61">
        <v>0</v>
      </c>
      <c r="F67" s="61">
        <v>5000</v>
      </c>
      <c r="G67" s="61">
        <v>0</v>
      </c>
      <c r="H67" s="58">
        <v>0</v>
      </c>
      <c r="I67" s="61">
        <v>0</v>
      </c>
      <c r="J67" s="29">
        <v>0</v>
      </c>
    </row>
    <row r="68" spans="1:10">
      <c r="A68" t="s">
        <v>141</v>
      </c>
      <c r="D68" s="61"/>
      <c r="E68" s="61"/>
      <c r="F68" s="61"/>
      <c r="G68" s="61"/>
      <c r="H68" s="58"/>
      <c r="I68" s="58"/>
      <c r="J68" s="29"/>
    </row>
    <row r="69" spans="1:10">
      <c r="A69" t="s">
        <v>341</v>
      </c>
      <c r="B69" t="s">
        <v>124</v>
      </c>
      <c r="D69" s="61">
        <v>1200</v>
      </c>
      <c r="E69" s="61">
        <v>194.75</v>
      </c>
      <c r="F69" s="61">
        <v>604</v>
      </c>
      <c r="G69" s="61">
        <v>1186</v>
      </c>
      <c r="H69" s="58">
        <v>1204</v>
      </c>
      <c r="I69" s="58">
        <v>1223</v>
      </c>
      <c r="J69" s="29">
        <v>968</v>
      </c>
    </row>
    <row r="70" spans="1:10">
      <c r="A70" t="s">
        <v>342</v>
      </c>
      <c r="B70" t="s">
        <v>822</v>
      </c>
      <c r="D70" s="61">
        <v>0</v>
      </c>
      <c r="E70" s="61">
        <v>1226.0899999999999</v>
      </c>
      <c r="F70" s="61">
        <v>2158</v>
      </c>
      <c r="G70" s="61">
        <v>2360</v>
      </c>
      <c r="H70" s="58">
        <v>2749</v>
      </c>
      <c r="I70" s="61">
        <v>1903</v>
      </c>
      <c r="J70" s="29">
        <v>2104</v>
      </c>
    </row>
    <row r="71" spans="1:10">
      <c r="A71" t="s">
        <v>343</v>
      </c>
      <c r="B71" t="s">
        <v>122</v>
      </c>
      <c r="D71" s="61">
        <v>4000</v>
      </c>
      <c r="E71" s="61">
        <v>5537.66</v>
      </c>
      <c r="F71" s="61">
        <f>3393+650</f>
        <v>4043</v>
      </c>
      <c r="G71" s="61">
        <v>1614</v>
      </c>
      <c r="H71" s="60">
        <v>7382</v>
      </c>
      <c r="I71" s="58">
        <v>2316</v>
      </c>
      <c r="J71" s="29">
        <v>3997</v>
      </c>
    </row>
    <row r="72" spans="1:10">
      <c r="A72" t="s">
        <v>344</v>
      </c>
      <c r="B72" t="s">
        <v>121</v>
      </c>
      <c r="D72" s="61">
        <v>150</v>
      </c>
      <c r="E72" s="61">
        <v>0</v>
      </c>
      <c r="F72" s="61">
        <v>0</v>
      </c>
      <c r="G72" s="61">
        <v>0</v>
      </c>
      <c r="H72" s="58">
        <v>91</v>
      </c>
      <c r="I72" s="58">
        <v>0</v>
      </c>
      <c r="J72" s="29">
        <v>0</v>
      </c>
    </row>
    <row r="73" spans="1:10">
      <c r="A73" t="s">
        <v>345</v>
      </c>
      <c r="B73" t="s">
        <v>142</v>
      </c>
      <c r="D73" s="61">
        <v>750</v>
      </c>
      <c r="E73" s="61">
        <v>196</v>
      </c>
      <c r="F73" s="61">
        <v>1060</v>
      </c>
      <c r="G73" s="61">
        <v>640</v>
      </c>
      <c r="H73" s="60">
        <v>440</v>
      </c>
      <c r="I73" s="58">
        <v>162</v>
      </c>
      <c r="J73" s="29">
        <v>1167</v>
      </c>
    </row>
    <row r="74" spans="1:10">
      <c r="D74" s="61"/>
      <c r="E74" s="61"/>
      <c r="F74" s="61"/>
      <c r="G74" s="61"/>
      <c r="H74" s="58"/>
      <c r="I74" s="58"/>
      <c r="J74" s="29"/>
    </row>
    <row r="75" spans="1:10">
      <c r="A75" s="49"/>
      <c r="C75" t="s">
        <v>77</v>
      </c>
      <c r="D75" s="61">
        <f>SUM(D4:D73)</f>
        <v>88432.13</v>
      </c>
      <c r="E75" s="61">
        <f>SUM(E4:E73)</f>
        <v>69829.64</v>
      </c>
      <c r="F75" s="61">
        <f>SUM(F4:F73)</f>
        <v>72855</v>
      </c>
      <c r="G75" s="61">
        <f>SUM(G4:G73)</f>
        <v>70926</v>
      </c>
      <c r="H75" s="60">
        <f>SUM(H4:H74)</f>
        <v>89628</v>
      </c>
      <c r="I75" s="57">
        <f>SUM(I4:I74)</f>
        <v>64841</v>
      </c>
      <c r="J75" s="29">
        <f>SUM(J4:J74)</f>
        <v>59464</v>
      </c>
    </row>
    <row r="76" spans="1:10">
      <c r="A76" s="59"/>
      <c r="G76" s="49"/>
      <c r="H76" s="49"/>
      <c r="I76" s="64"/>
      <c r="J76" s="12"/>
    </row>
    <row r="77" spans="1:10">
      <c r="A77" s="49"/>
    </row>
    <row r="78" spans="1:10">
      <c r="A78" s="49"/>
    </row>
  </sheetData>
  <phoneticPr fontId="2" type="noConversion"/>
  <pageMargins left="0.25" right="0.25" top="0.75" bottom="0.75" header="0.3" footer="0.3"/>
  <pageSetup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dimension ref="A1:J79"/>
  <sheetViews>
    <sheetView topLeftCell="A58" workbookViewId="0">
      <selection activeCell="L78" sqref="L78"/>
    </sheetView>
  </sheetViews>
  <sheetFormatPr defaultRowHeight="12.75"/>
  <cols>
    <col min="1" max="1" width="18.42578125" customWidth="1"/>
    <col min="2" max="2" width="27.5703125" customWidth="1"/>
    <col min="3" max="3" width="5.7109375" customWidth="1"/>
    <col min="4" max="4" width="11.7109375" customWidth="1"/>
    <col min="5" max="10" width="10.7109375" customWidth="1"/>
  </cols>
  <sheetData>
    <row r="1" spans="1:10" ht="15.75">
      <c r="B1" s="20" t="s">
        <v>68</v>
      </c>
      <c r="D1" s="21">
        <v>2013</v>
      </c>
      <c r="E1" s="74">
        <v>2012</v>
      </c>
      <c r="F1" s="74">
        <v>2011</v>
      </c>
      <c r="G1" s="25">
        <v>2010</v>
      </c>
      <c r="H1" s="74">
        <v>2009</v>
      </c>
      <c r="I1" s="24">
        <v>2008</v>
      </c>
      <c r="J1" s="24">
        <v>2007</v>
      </c>
    </row>
    <row r="2" spans="1:10">
      <c r="A2" t="s">
        <v>108</v>
      </c>
      <c r="D2" s="24" t="s">
        <v>676</v>
      </c>
      <c r="E2" s="74" t="s">
        <v>677</v>
      </c>
      <c r="F2" s="74" t="s">
        <v>677</v>
      </c>
      <c r="G2" s="74" t="s">
        <v>677</v>
      </c>
      <c r="H2" s="74" t="s">
        <v>677</v>
      </c>
      <c r="I2" s="74" t="s">
        <v>677</v>
      </c>
      <c r="J2" s="25" t="s">
        <v>677</v>
      </c>
    </row>
    <row r="3" spans="1:10">
      <c r="A3" t="s">
        <v>253</v>
      </c>
      <c r="G3" s="19"/>
    </row>
    <row r="4" spans="1:10">
      <c r="A4" t="s">
        <v>346</v>
      </c>
      <c r="B4" t="s">
        <v>129</v>
      </c>
      <c r="D4" s="61">
        <f>33426*102%</f>
        <v>34094.520000000004</v>
      </c>
      <c r="E4" s="61">
        <v>33387.199999999997</v>
      </c>
      <c r="F4" s="61">
        <v>32320</v>
      </c>
      <c r="G4" s="61">
        <v>31512</v>
      </c>
      <c r="H4" s="58">
        <v>31126</v>
      </c>
      <c r="I4" s="58">
        <v>30143</v>
      </c>
      <c r="J4" s="12">
        <v>29073</v>
      </c>
    </row>
    <row r="5" spans="1:10">
      <c r="A5" t="s">
        <v>347</v>
      </c>
      <c r="B5" t="s">
        <v>130</v>
      </c>
      <c r="D5" s="61">
        <f>5516*102%</f>
        <v>5626.32</v>
      </c>
      <c r="E5" s="61">
        <v>4247.37</v>
      </c>
      <c r="F5" s="61">
        <v>4339</v>
      </c>
      <c r="G5" s="61">
        <v>5329</v>
      </c>
      <c r="H5" s="58">
        <v>5114</v>
      </c>
      <c r="I5" s="58">
        <v>5606</v>
      </c>
      <c r="J5" s="12">
        <v>5220</v>
      </c>
    </row>
    <row r="6" spans="1:10">
      <c r="A6" t="s">
        <v>718</v>
      </c>
      <c r="B6" t="s">
        <v>719</v>
      </c>
      <c r="D6" s="61">
        <v>0</v>
      </c>
      <c r="E6" s="61">
        <v>11823.31</v>
      </c>
      <c r="F6" s="58">
        <v>6084</v>
      </c>
      <c r="G6" s="58">
        <v>0</v>
      </c>
      <c r="H6" s="58">
        <v>0</v>
      </c>
      <c r="I6" s="58">
        <v>0</v>
      </c>
      <c r="J6" s="12">
        <v>2497</v>
      </c>
    </row>
    <row r="7" spans="1:10">
      <c r="A7" t="s">
        <v>662</v>
      </c>
      <c r="B7" t="s">
        <v>62</v>
      </c>
      <c r="D7" s="26">
        <v>0</v>
      </c>
      <c r="E7" s="60">
        <v>0</v>
      </c>
      <c r="F7" s="61">
        <v>259</v>
      </c>
      <c r="G7" s="61">
        <v>7711</v>
      </c>
      <c r="H7" s="58">
        <v>8001</v>
      </c>
      <c r="I7" s="58">
        <v>8940</v>
      </c>
      <c r="J7" s="12">
        <v>110</v>
      </c>
    </row>
    <row r="8" spans="1:10">
      <c r="A8" t="s">
        <v>249</v>
      </c>
      <c r="D8" s="61"/>
      <c r="E8" s="61"/>
      <c r="F8" s="61"/>
      <c r="G8" s="61"/>
      <c r="H8" s="58"/>
      <c r="I8" s="58"/>
      <c r="J8" s="12"/>
    </row>
    <row r="9" spans="1:10">
      <c r="A9" t="s">
        <v>348</v>
      </c>
      <c r="B9" t="s">
        <v>251</v>
      </c>
      <c r="D9" s="57">
        <f>0.0725*(D4+D5+D6)</f>
        <v>2879.7609000000002</v>
      </c>
      <c r="E9" s="57">
        <v>3603.17</v>
      </c>
      <c r="F9" s="57">
        <v>3118</v>
      </c>
      <c r="G9" s="57">
        <f>0.07*(G4+G5+G7)</f>
        <v>3118.6400000000003</v>
      </c>
      <c r="H9" s="58">
        <v>2991</v>
      </c>
      <c r="I9" s="58">
        <v>2366</v>
      </c>
      <c r="J9" s="12">
        <v>2143</v>
      </c>
    </row>
    <row r="10" spans="1:10">
      <c r="A10" t="s">
        <v>349</v>
      </c>
      <c r="B10" t="s">
        <v>111</v>
      </c>
      <c r="D10" s="57">
        <f>0.062*SUM(D4:D6)</f>
        <v>2462.6920800000003</v>
      </c>
      <c r="E10" s="57">
        <v>3059.35</v>
      </c>
      <c r="F10" s="57">
        <v>2596</v>
      </c>
      <c r="G10" s="57">
        <f>0.062*SUM(G4:G7)</f>
        <v>2762.2240000000002</v>
      </c>
      <c r="H10" s="58">
        <v>2691</v>
      </c>
      <c r="I10" s="58">
        <v>2771</v>
      </c>
      <c r="J10" s="12">
        <v>2287</v>
      </c>
    </row>
    <row r="11" spans="1:10">
      <c r="A11" t="s">
        <v>350</v>
      </c>
      <c r="B11" t="s">
        <v>113</v>
      </c>
      <c r="D11" s="57">
        <f>0.0145*SUM(D4:D6)</f>
        <v>575.95218000000011</v>
      </c>
      <c r="E11" s="57">
        <v>715.49</v>
      </c>
      <c r="F11" s="57">
        <f>0.0145*SUM(F4:F7)</f>
        <v>623.529</v>
      </c>
      <c r="G11" s="57">
        <v>625</v>
      </c>
      <c r="H11" s="58">
        <v>629</v>
      </c>
      <c r="I11" s="58">
        <v>648</v>
      </c>
      <c r="J11" s="12">
        <v>535</v>
      </c>
    </row>
    <row r="12" spans="1:10">
      <c r="A12" t="s">
        <v>244</v>
      </c>
      <c r="D12" s="59"/>
      <c r="E12" s="59"/>
      <c r="F12" s="59"/>
      <c r="G12" s="59"/>
      <c r="H12" s="58"/>
      <c r="I12" s="58"/>
      <c r="J12" s="12"/>
    </row>
    <row r="13" spans="1:10">
      <c r="A13" t="s">
        <v>351</v>
      </c>
      <c r="B13" t="s">
        <v>246</v>
      </c>
      <c r="D13" s="65">
        <f>783.5*12</f>
        <v>9402</v>
      </c>
      <c r="E13" s="65">
        <v>9402</v>
      </c>
      <c r="F13" s="65">
        <v>9984</v>
      </c>
      <c r="G13" s="65">
        <v>9036</v>
      </c>
      <c r="H13" s="60">
        <v>9018</v>
      </c>
      <c r="I13" s="58">
        <v>8010</v>
      </c>
      <c r="J13" s="12">
        <v>6816</v>
      </c>
    </row>
    <row r="14" spans="1:10">
      <c r="A14" t="s">
        <v>352</v>
      </c>
      <c r="B14" t="s">
        <v>248</v>
      </c>
      <c r="D14" s="61">
        <v>468</v>
      </c>
      <c r="E14" s="61">
        <v>416.82</v>
      </c>
      <c r="F14" s="61">
        <v>607</v>
      </c>
      <c r="G14" s="61">
        <v>663</v>
      </c>
      <c r="H14" s="58">
        <v>585</v>
      </c>
      <c r="I14" s="58">
        <v>465</v>
      </c>
      <c r="J14" s="12">
        <v>425</v>
      </c>
    </row>
    <row r="15" spans="1:10">
      <c r="A15" t="s">
        <v>58</v>
      </c>
      <c r="D15" s="61"/>
      <c r="E15" s="61"/>
      <c r="F15" s="61"/>
      <c r="G15" s="61"/>
      <c r="H15" s="58"/>
      <c r="I15" s="58"/>
      <c r="J15" s="12"/>
    </row>
    <row r="16" spans="1:10">
      <c r="A16" t="s">
        <v>353</v>
      </c>
      <c r="B16" t="s">
        <v>243</v>
      </c>
      <c r="D16" s="61">
        <f>2492*106%</f>
        <v>2641.52</v>
      </c>
      <c r="E16" s="61">
        <v>1470</v>
      </c>
      <c r="F16" s="61">
        <v>4271</v>
      </c>
      <c r="G16" s="61">
        <v>2400</v>
      </c>
      <c r="H16" s="58">
        <v>2700</v>
      </c>
      <c r="I16" s="58">
        <v>2667</v>
      </c>
      <c r="J16" s="12">
        <v>2635</v>
      </c>
    </row>
    <row r="17" spans="1:10">
      <c r="A17" t="s">
        <v>44</v>
      </c>
      <c r="D17" s="59"/>
      <c r="E17" s="59"/>
      <c r="F17" s="59"/>
      <c r="G17" s="59"/>
      <c r="H17" s="58"/>
      <c r="I17" s="58"/>
      <c r="J17" s="12"/>
    </row>
    <row r="18" spans="1:10">
      <c r="A18" t="s">
        <v>354</v>
      </c>
      <c r="B18" t="s">
        <v>57</v>
      </c>
      <c r="D18" s="61">
        <v>100</v>
      </c>
      <c r="E18" s="60">
        <v>0</v>
      </c>
      <c r="F18" s="60">
        <v>0</v>
      </c>
      <c r="G18" s="60">
        <v>0</v>
      </c>
      <c r="H18" s="58">
        <v>27</v>
      </c>
      <c r="I18" s="58">
        <v>0</v>
      </c>
      <c r="J18" s="12">
        <v>29</v>
      </c>
    </row>
    <row r="19" spans="1:10">
      <c r="A19" t="s">
        <v>208</v>
      </c>
      <c r="D19" s="59"/>
      <c r="E19" s="59"/>
      <c r="F19" s="59"/>
      <c r="G19" s="59"/>
      <c r="H19" s="58"/>
      <c r="I19" s="58"/>
      <c r="J19" s="12"/>
    </row>
    <row r="20" spans="1:10">
      <c r="A20" t="s">
        <v>355</v>
      </c>
      <c r="B20" t="s">
        <v>210</v>
      </c>
      <c r="D20" s="61">
        <v>500</v>
      </c>
      <c r="E20" s="61">
        <v>66.37</v>
      </c>
      <c r="F20" s="61">
        <v>247</v>
      </c>
      <c r="G20" s="61">
        <v>0</v>
      </c>
      <c r="H20" s="58">
        <v>0</v>
      </c>
      <c r="I20" s="58">
        <v>744</v>
      </c>
      <c r="J20" s="12">
        <v>0</v>
      </c>
    </row>
    <row r="21" spans="1:10">
      <c r="A21" t="s">
        <v>356</v>
      </c>
      <c r="B21" t="s">
        <v>212</v>
      </c>
      <c r="D21" s="61">
        <v>18000</v>
      </c>
      <c r="E21" s="61">
        <v>11297.69</v>
      </c>
      <c r="F21" s="61">
        <v>13804</v>
      </c>
      <c r="G21" s="61">
        <v>9480</v>
      </c>
      <c r="H21" s="60">
        <v>6383</v>
      </c>
      <c r="I21" s="58">
        <v>8049</v>
      </c>
      <c r="J21" s="12">
        <v>9432</v>
      </c>
    </row>
    <row r="22" spans="1:10">
      <c r="A22" t="s">
        <v>357</v>
      </c>
      <c r="B22" t="s">
        <v>234</v>
      </c>
      <c r="D22" s="61">
        <v>2000</v>
      </c>
      <c r="E22" s="61">
        <v>945.62</v>
      </c>
      <c r="F22" s="61">
        <v>87</v>
      </c>
      <c r="G22" s="61">
        <v>462</v>
      </c>
      <c r="H22" s="60">
        <v>1257</v>
      </c>
      <c r="I22" s="58">
        <v>2944</v>
      </c>
      <c r="J22" s="12">
        <v>112</v>
      </c>
    </row>
    <row r="23" spans="1:10">
      <c r="A23" t="s">
        <v>358</v>
      </c>
      <c r="B23" t="s">
        <v>40</v>
      </c>
      <c r="D23" s="61">
        <v>500</v>
      </c>
      <c r="E23" s="61">
        <v>0</v>
      </c>
      <c r="F23" s="61">
        <v>0</v>
      </c>
      <c r="G23" s="61">
        <v>0</v>
      </c>
      <c r="H23" s="58">
        <v>0</v>
      </c>
      <c r="I23" s="58">
        <v>0</v>
      </c>
      <c r="J23" s="12">
        <v>0</v>
      </c>
    </row>
    <row r="24" spans="1:10">
      <c r="A24" t="s">
        <v>359</v>
      </c>
      <c r="B24" t="s">
        <v>42</v>
      </c>
      <c r="D24" s="61">
        <v>500</v>
      </c>
      <c r="E24" s="61">
        <v>487.22</v>
      </c>
      <c r="F24" s="61">
        <v>277</v>
      </c>
      <c r="G24" s="61">
        <v>687</v>
      </c>
      <c r="H24" s="58">
        <v>653</v>
      </c>
      <c r="I24" s="58">
        <v>0</v>
      </c>
      <c r="J24" s="12">
        <v>235</v>
      </c>
    </row>
    <row r="25" spans="1:10">
      <c r="A25" t="s">
        <v>360</v>
      </c>
      <c r="B25" t="s">
        <v>43</v>
      </c>
      <c r="D25" s="61">
        <v>4800</v>
      </c>
      <c r="E25" s="61">
        <v>7139.32</v>
      </c>
      <c r="F25" s="61">
        <v>638</v>
      </c>
      <c r="G25" s="61">
        <v>5207</v>
      </c>
      <c r="H25" s="60">
        <v>6827</v>
      </c>
      <c r="I25" s="58">
        <v>9385</v>
      </c>
      <c r="J25" s="12">
        <v>9209</v>
      </c>
    </row>
    <row r="26" spans="1:10">
      <c r="A26" t="s">
        <v>28</v>
      </c>
      <c r="D26" s="61"/>
      <c r="E26" s="61"/>
      <c r="F26" s="61"/>
      <c r="G26" s="61"/>
      <c r="H26" s="58"/>
      <c r="I26" s="58"/>
      <c r="J26" s="12"/>
    </row>
    <row r="27" spans="1:10">
      <c r="A27" t="s">
        <v>361</v>
      </c>
      <c r="B27" t="s">
        <v>199</v>
      </c>
      <c r="D27" s="61">
        <v>10000</v>
      </c>
      <c r="E27" s="61">
        <v>3546.74</v>
      </c>
      <c r="F27" s="61">
        <v>2296</v>
      </c>
      <c r="G27" s="61">
        <v>3183</v>
      </c>
      <c r="H27" s="60">
        <v>5793</v>
      </c>
      <c r="I27" s="58">
        <v>11172</v>
      </c>
      <c r="J27" s="12">
        <v>15170</v>
      </c>
    </row>
    <row r="28" spans="1:10">
      <c r="A28" t="s">
        <v>362</v>
      </c>
      <c r="B28" t="s">
        <v>200</v>
      </c>
      <c r="D28" s="61">
        <v>2000</v>
      </c>
      <c r="E28" s="61">
        <v>806.53</v>
      </c>
      <c r="F28" s="61">
        <v>1199</v>
      </c>
      <c r="G28" s="61">
        <v>511</v>
      </c>
      <c r="H28" s="58">
        <v>1504</v>
      </c>
      <c r="I28" s="58">
        <v>529</v>
      </c>
      <c r="J28" s="12">
        <v>20</v>
      </c>
    </row>
    <row r="29" spans="1:10">
      <c r="A29" t="s">
        <v>363</v>
      </c>
      <c r="B29" t="s">
        <v>203</v>
      </c>
      <c r="D29" s="61">
        <v>9668</v>
      </c>
      <c r="E29" s="61">
        <v>7522.15</v>
      </c>
      <c r="F29" s="61">
        <v>4850</v>
      </c>
      <c r="G29" s="61">
        <v>5427</v>
      </c>
      <c r="H29" s="58">
        <v>7180</v>
      </c>
      <c r="I29" s="58">
        <v>13101</v>
      </c>
      <c r="J29" s="12">
        <v>8246</v>
      </c>
    </row>
    <row r="30" spans="1:10">
      <c r="A30" t="s">
        <v>972</v>
      </c>
      <c r="B30" t="s">
        <v>204</v>
      </c>
      <c r="D30" s="61">
        <v>0</v>
      </c>
      <c r="E30" s="61">
        <v>187.4</v>
      </c>
      <c r="F30" s="61">
        <v>0</v>
      </c>
      <c r="G30" s="61">
        <v>0</v>
      </c>
      <c r="H30" s="58">
        <v>0</v>
      </c>
      <c r="I30" s="58">
        <v>0</v>
      </c>
      <c r="J30" s="12">
        <v>0</v>
      </c>
    </row>
    <row r="31" spans="1:10">
      <c r="A31" t="s">
        <v>364</v>
      </c>
      <c r="B31" t="s">
        <v>205</v>
      </c>
      <c r="D31" s="61">
        <v>1750</v>
      </c>
      <c r="E31" s="61">
        <v>1245.81</v>
      </c>
      <c r="F31" s="61"/>
      <c r="G31" s="61">
        <v>403</v>
      </c>
      <c r="H31" s="58">
        <f>473+578+76</f>
        <v>1127</v>
      </c>
      <c r="I31" s="58">
        <v>1725</v>
      </c>
      <c r="J31" s="12">
        <v>137</v>
      </c>
    </row>
    <row r="32" spans="1:10">
      <c r="A32" t="s">
        <v>365</v>
      </c>
      <c r="B32" t="s">
        <v>207</v>
      </c>
      <c r="D32" s="61">
        <v>500</v>
      </c>
      <c r="E32" s="61">
        <v>143.62</v>
      </c>
      <c r="F32" s="61">
        <f>194+18</f>
        <v>212</v>
      </c>
      <c r="G32" s="61">
        <v>1455</v>
      </c>
      <c r="H32" s="60">
        <v>895</v>
      </c>
      <c r="I32" s="58">
        <f>199+74</f>
        <v>273</v>
      </c>
      <c r="J32" s="12">
        <v>0</v>
      </c>
    </row>
    <row r="33" spans="1:10">
      <c r="A33" t="s">
        <v>20</v>
      </c>
      <c r="D33" s="61"/>
      <c r="E33" s="61"/>
      <c r="F33" s="61"/>
      <c r="G33" s="61"/>
      <c r="H33" s="58"/>
      <c r="I33" s="58"/>
      <c r="J33" s="12"/>
    </row>
    <row r="34" spans="1:10">
      <c r="A34" t="s">
        <v>366</v>
      </c>
      <c r="B34" t="s">
        <v>26</v>
      </c>
      <c r="D34" s="61">
        <v>0</v>
      </c>
      <c r="E34" s="61">
        <v>0</v>
      </c>
      <c r="F34" s="61">
        <v>0</v>
      </c>
      <c r="G34" s="61">
        <v>0</v>
      </c>
      <c r="H34" s="58">
        <v>0</v>
      </c>
      <c r="I34" s="58">
        <v>0</v>
      </c>
      <c r="J34" s="12">
        <v>0</v>
      </c>
    </row>
    <row r="35" spans="1:10">
      <c r="A35" t="s">
        <v>9</v>
      </c>
      <c r="D35" s="61"/>
      <c r="E35" s="61"/>
      <c r="F35" s="61"/>
      <c r="G35" s="61"/>
      <c r="H35" s="58"/>
      <c r="I35" s="58"/>
      <c r="J35" s="12"/>
    </row>
    <row r="36" spans="1:10">
      <c r="A36" t="s">
        <v>367</v>
      </c>
      <c r="B36" t="s">
        <v>11</v>
      </c>
      <c r="D36" s="61">
        <f>1224*103%</f>
        <v>1260.72</v>
      </c>
      <c r="E36" s="61">
        <v>1275</v>
      </c>
      <c r="F36" s="61">
        <v>1200</v>
      </c>
      <c r="G36" s="61">
        <v>1180</v>
      </c>
      <c r="H36" s="60">
        <v>1077</v>
      </c>
      <c r="I36" s="58">
        <v>1077</v>
      </c>
      <c r="J36" s="12">
        <v>1042</v>
      </c>
    </row>
    <row r="37" spans="1:10">
      <c r="A37" t="s">
        <v>823</v>
      </c>
      <c r="B37" t="s">
        <v>13</v>
      </c>
      <c r="D37" s="61">
        <v>12000</v>
      </c>
      <c r="E37" s="61"/>
      <c r="F37" s="61">
        <v>2343</v>
      </c>
      <c r="G37" s="61">
        <v>425</v>
      </c>
      <c r="H37" s="60"/>
      <c r="I37" s="58"/>
      <c r="J37" s="12"/>
    </row>
    <row r="38" spans="1:10">
      <c r="A38" t="s">
        <v>368</v>
      </c>
      <c r="B38" t="s">
        <v>125</v>
      </c>
      <c r="D38" s="61">
        <v>5015</v>
      </c>
      <c r="E38" s="61">
        <v>1638.98</v>
      </c>
      <c r="F38" s="61">
        <v>5015</v>
      </c>
      <c r="G38" s="61">
        <f>122+1468</f>
        <v>1590</v>
      </c>
      <c r="H38" s="58"/>
      <c r="I38" s="58">
        <v>17</v>
      </c>
      <c r="J38" s="12">
        <v>13</v>
      </c>
    </row>
    <row r="39" spans="1:10">
      <c r="A39" t="s">
        <v>8</v>
      </c>
      <c r="D39" s="61"/>
      <c r="E39" s="61"/>
      <c r="F39" s="61"/>
      <c r="G39" s="61"/>
      <c r="H39" s="58"/>
      <c r="I39" s="58"/>
      <c r="J39" s="12"/>
    </row>
    <row r="40" spans="1:10">
      <c r="A40" t="s">
        <v>369</v>
      </c>
      <c r="B40" t="s">
        <v>119</v>
      </c>
      <c r="D40" s="61">
        <v>1300</v>
      </c>
      <c r="E40" s="61">
        <v>1379.4</v>
      </c>
      <c r="F40" s="61">
        <v>1252</v>
      </c>
      <c r="G40" s="61">
        <v>1108</v>
      </c>
      <c r="H40" s="58">
        <v>1215</v>
      </c>
      <c r="I40" s="58">
        <v>943</v>
      </c>
      <c r="J40" s="12">
        <v>565</v>
      </c>
    </row>
    <row r="41" spans="1:10">
      <c r="A41" t="s">
        <v>193</v>
      </c>
      <c r="D41" s="61"/>
      <c r="E41" s="61"/>
      <c r="F41" s="61"/>
      <c r="G41" s="61"/>
      <c r="H41" s="58"/>
      <c r="I41" s="58"/>
      <c r="J41" s="12"/>
    </row>
    <row r="42" spans="1:10">
      <c r="A42" t="s">
        <v>370</v>
      </c>
      <c r="B42" t="s">
        <v>195</v>
      </c>
      <c r="D42" s="61">
        <v>0</v>
      </c>
      <c r="E42" s="61">
        <v>0</v>
      </c>
      <c r="F42" s="61">
        <v>0</v>
      </c>
      <c r="G42" s="61">
        <v>0</v>
      </c>
      <c r="H42" s="58">
        <v>0</v>
      </c>
      <c r="I42" s="58">
        <v>0</v>
      </c>
      <c r="J42" s="12">
        <v>0</v>
      </c>
    </row>
    <row r="43" spans="1:10">
      <c r="A43" t="s">
        <v>186</v>
      </c>
      <c r="D43" s="61"/>
      <c r="E43" s="61"/>
      <c r="F43" s="61"/>
      <c r="G43" s="61"/>
      <c r="H43" s="58"/>
      <c r="I43" s="58"/>
      <c r="J43" s="12"/>
    </row>
    <row r="44" spans="1:10">
      <c r="A44" t="s">
        <v>371</v>
      </c>
      <c r="B44" t="s">
        <v>191</v>
      </c>
      <c r="D44" s="61">
        <v>0</v>
      </c>
      <c r="E44" s="61">
        <v>0</v>
      </c>
      <c r="F44" s="61">
        <v>0</v>
      </c>
      <c r="G44" s="61">
        <v>0</v>
      </c>
      <c r="H44" s="58">
        <v>0</v>
      </c>
      <c r="I44" s="58">
        <v>0</v>
      </c>
      <c r="J44" s="12">
        <v>0</v>
      </c>
    </row>
    <row r="45" spans="1:10">
      <c r="A45" t="s">
        <v>180</v>
      </c>
      <c r="D45" s="61"/>
      <c r="E45" s="61"/>
      <c r="F45" s="61"/>
      <c r="G45" s="61"/>
      <c r="H45" s="58"/>
      <c r="I45" s="58"/>
      <c r="J45" s="12"/>
    </row>
    <row r="46" spans="1:10">
      <c r="A46" t="s">
        <v>372</v>
      </c>
      <c r="B46" t="s">
        <v>181</v>
      </c>
      <c r="D46" s="61">
        <v>50</v>
      </c>
      <c r="E46" s="61">
        <v>85.2</v>
      </c>
      <c r="F46" s="61">
        <v>0</v>
      </c>
      <c r="G46" s="61">
        <v>0</v>
      </c>
      <c r="H46" s="58">
        <v>39</v>
      </c>
      <c r="I46" s="58">
        <v>0</v>
      </c>
      <c r="J46" s="12">
        <v>288</v>
      </c>
    </row>
    <row r="47" spans="1:10">
      <c r="A47" t="s">
        <v>720</v>
      </c>
      <c r="B47" t="s">
        <v>721</v>
      </c>
      <c r="D47" s="61">
        <v>0</v>
      </c>
      <c r="E47" s="61">
        <v>0</v>
      </c>
      <c r="F47" s="61">
        <v>21</v>
      </c>
      <c r="G47" s="61">
        <v>27</v>
      </c>
      <c r="H47" s="58">
        <v>91</v>
      </c>
      <c r="I47" s="58">
        <v>91</v>
      </c>
      <c r="J47" s="12">
        <v>18</v>
      </c>
    </row>
    <row r="48" spans="1:10">
      <c r="A48" t="s">
        <v>173</v>
      </c>
      <c r="D48" s="61"/>
      <c r="E48" s="61"/>
      <c r="F48" s="61"/>
      <c r="G48" s="61"/>
      <c r="H48" s="58"/>
      <c r="I48" s="58"/>
      <c r="J48" s="12"/>
    </row>
    <row r="49" spans="1:10">
      <c r="A49" t="s">
        <v>373</v>
      </c>
      <c r="B49" t="s">
        <v>115</v>
      </c>
      <c r="D49" s="61">
        <f>133*110%</f>
        <v>146.30000000000001</v>
      </c>
      <c r="E49" s="61">
        <v>133</v>
      </c>
      <c r="F49" s="61">
        <v>102</v>
      </c>
      <c r="G49" s="61">
        <v>177</v>
      </c>
      <c r="H49" s="58">
        <v>176</v>
      </c>
      <c r="I49" s="58">
        <v>684</v>
      </c>
      <c r="J49" s="12">
        <v>145</v>
      </c>
    </row>
    <row r="50" spans="1:10">
      <c r="A50" t="s">
        <v>374</v>
      </c>
      <c r="B50" t="s">
        <v>176</v>
      </c>
      <c r="D50" s="61">
        <f>1420*107%</f>
        <v>1519.4</v>
      </c>
      <c r="E50" s="61">
        <v>1420</v>
      </c>
      <c r="F50" s="61">
        <v>1002</v>
      </c>
      <c r="G50" s="61">
        <v>1376</v>
      </c>
      <c r="H50" s="58">
        <v>1136</v>
      </c>
      <c r="I50" s="58">
        <v>1099</v>
      </c>
      <c r="J50" s="12">
        <v>1992</v>
      </c>
    </row>
    <row r="51" spans="1:10">
      <c r="A51" t="s">
        <v>375</v>
      </c>
      <c r="B51" t="s">
        <v>177</v>
      </c>
      <c r="D51" s="61">
        <f>3807*105%</f>
        <v>3997.3500000000004</v>
      </c>
      <c r="E51" s="61">
        <v>3807</v>
      </c>
      <c r="F51" s="61">
        <v>2751</v>
      </c>
      <c r="G51" s="61">
        <v>3822</v>
      </c>
      <c r="H51" s="58">
        <v>3491</v>
      </c>
      <c r="I51" s="58">
        <v>1212</v>
      </c>
      <c r="J51" s="12">
        <v>1398</v>
      </c>
    </row>
    <row r="52" spans="1:10">
      <c r="A52" t="s">
        <v>163</v>
      </c>
      <c r="D52" s="61"/>
      <c r="E52" s="61"/>
      <c r="F52" s="61"/>
      <c r="G52" s="61"/>
      <c r="H52" s="58"/>
      <c r="I52" s="58"/>
      <c r="J52" s="12"/>
    </row>
    <row r="53" spans="1:10">
      <c r="A53" t="s">
        <v>376</v>
      </c>
      <c r="B53" t="s">
        <v>164</v>
      </c>
      <c r="D53" s="61">
        <f>5734*109%</f>
        <v>6250.06</v>
      </c>
      <c r="E53" s="61">
        <v>6254.48</v>
      </c>
      <c r="F53" s="61">
        <v>5734</v>
      </c>
      <c r="G53" s="61">
        <v>4575</v>
      </c>
      <c r="H53" s="58">
        <v>3870</v>
      </c>
      <c r="I53" s="58">
        <v>2319</v>
      </c>
      <c r="J53" s="12">
        <v>1886</v>
      </c>
    </row>
    <row r="54" spans="1:10">
      <c r="A54" t="s">
        <v>377</v>
      </c>
      <c r="B54" t="s">
        <v>165</v>
      </c>
      <c r="D54" s="61">
        <f>151*111%</f>
        <v>167.61</v>
      </c>
      <c r="E54" s="61">
        <v>177.91</v>
      </c>
      <c r="F54" s="61">
        <v>151</v>
      </c>
      <c r="G54" s="61">
        <v>152</v>
      </c>
      <c r="H54" s="58">
        <v>148</v>
      </c>
      <c r="I54" s="58">
        <v>118</v>
      </c>
      <c r="J54" s="12">
        <v>61</v>
      </c>
    </row>
    <row r="55" spans="1:10">
      <c r="A55" t="s">
        <v>378</v>
      </c>
      <c r="B55" t="s">
        <v>166</v>
      </c>
      <c r="D55" s="61">
        <v>1750</v>
      </c>
      <c r="E55" s="61">
        <v>687.4</v>
      </c>
      <c r="F55" s="61">
        <v>1032</v>
      </c>
      <c r="G55" s="61">
        <v>1135</v>
      </c>
      <c r="H55" s="58">
        <v>1339</v>
      </c>
      <c r="I55" s="58">
        <v>2002</v>
      </c>
      <c r="J55" s="12">
        <v>1223</v>
      </c>
    </row>
    <row r="56" spans="1:10">
      <c r="A56" t="s">
        <v>379</v>
      </c>
      <c r="B56" t="s">
        <v>167</v>
      </c>
      <c r="D56" s="61">
        <v>1500</v>
      </c>
      <c r="E56" s="61">
        <v>626.23</v>
      </c>
      <c r="F56" s="61">
        <v>1392</v>
      </c>
      <c r="G56" s="61">
        <v>1876</v>
      </c>
      <c r="H56" s="58">
        <v>1540</v>
      </c>
      <c r="I56" s="58">
        <v>1809</v>
      </c>
      <c r="J56" s="12">
        <v>1523</v>
      </c>
    </row>
    <row r="57" spans="1:10">
      <c r="A57" t="s">
        <v>380</v>
      </c>
      <c r="B57" t="s">
        <v>168</v>
      </c>
      <c r="D57" s="61">
        <f>254*111%</f>
        <v>281.94</v>
      </c>
      <c r="E57" s="61">
        <v>274.37</v>
      </c>
      <c r="F57" s="61">
        <v>254</v>
      </c>
      <c r="G57" s="61">
        <v>254</v>
      </c>
      <c r="H57" s="58">
        <v>196</v>
      </c>
      <c r="I57" s="58">
        <v>123</v>
      </c>
      <c r="J57" s="12">
        <v>121</v>
      </c>
    </row>
    <row r="58" spans="1:10">
      <c r="A58" t="s">
        <v>665</v>
      </c>
      <c r="D58" s="61"/>
      <c r="E58" s="61"/>
      <c r="F58" s="61"/>
      <c r="G58" s="61"/>
      <c r="H58" s="58"/>
      <c r="I58" s="58"/>
      <c r="J58" s="12"/>
    </row>
    <row r="59" spans="1:10">
      <c r="A59" t="s">
        <v>717</v>
      </c>
      <c r="B59" t="s">
        <v>670</v>
      </c>
      <c r="D59" s="61">
        <v>0</v>
      </c>
      <c r="E59" s="61">
        <v>0</v>
      </c>
      <c r="F59" s="61">
        <v>0</v>
      </c>
      <c r="G59" s="61">
        <v>0</v>
      </c>
      <c r="H59" s="58">
        <v>0</v>
      </c>
      <c r="I59" s="58">
        <v>0</v>
      </c>
      <c r="J59" s="12">
        <v>0</v>
      </c>
    </row>
    <row r="60" spans="1:10">
      <c r="A60" s="19" t="s">
        <v>738</v>
      </c>
      <c r="B60" s="19" t="s">
        <v>739</v>
      </c>
      <c r="D60" s="60">
        <v>0</v>
      </c>
      <c r="E60" s="60">
        <v>0</v>
      </c>
      <c r="F60" s="61">
        <v>0</v>
      </c>
      <c r="G60" s="61">
        <v>0</v>
      </c>
      <c r="H60" s="58">
        <v>0</v>
      </c>
      <c r="I60" s="58">
        <v>1038</v>
      </c>
      <c r="J60" s="12">
        <v>0</v>
      </c>
    </row>
    <row r="61" spans="1:10">
      <c r="A61" t="s">
        <v>722</v>
      </c>
      <c r="B61" t="s">
        <v>723</v>
      </c>
      <c r="D61" s="61">
        <v>2500</v>
      </c>
      <c r="E61" s="61">
        <v>0</v>
      </c>
      <c r="F61" s="61">
        <v>2394</v>
      </c>
      <c r="G61" s="61">
        <v>0</v>
      </c>
      <c r="H61" s="58">
        <v>9999</v>
      </c>
      <c r="I61" s="58">
        <v>0</v>
      </c>
      <c r="J61" s="12">
        <v>74209</v>
      </c>
    </row>
    <row r="62" spans="1:10">
      <c r="A62" t="s">
        <v>157</v>
      </c>
      <c r="D62" s="61"/>
      <c r="E62" s="61"/>
      <c r="F62" s="61"/>
      <c r="G62" s="61"/>
      <c r="H62" s="58"/>
      <c r="I62" s="58"/>
      <c r="J62" s="12"/>
    </row>
    <row r="63" spans="1:10">
      <c r="A63" t="s">
        <v>942</v>
      </c>
      <c r="B63" t="s">
        <v>670</v>
      </c>
      <c r="D63" s="61">
        <v>0</v>
      </c>
      <c r="E63" s="61">
        <v>0</v>
      </c>
      <c r="F63" s="61">
        <f>408+350</f>
        <v>758</v>
      </c>
      <c r="G63" s="61">
        <v>0</v>
      </c>
      <c r="H63" s="58">
        <v>0</v>
      </c>
      <c r="I63" s="58">
        <v>0</v>
      </c>
      <c r="J63" s="12">
        <v>0</v>
      </c>
    </row>
    <row r="64" spans="1:10">
      <c r="A64" t="s">
        <v>381</v>
      </c>
      <c r="B64" t="s">
        <v>160</v>
      </c>
      <c r="D64" s="61">
        <v>40000</v>
      </c>
      <c r="E64" s="61">
        <v>62573.45</v>
      </c>
      <c r="F64" s="61">
        <v>24344</v>
      </c>
      <c r="G64" s="61">
        <v>0</v>
      </c>
      <c r="H64" s="58">
        <v>22774</v>
      </c>
      <c r="I64" s="58">
        <v>29828</v>
      </c>
      <c r="J64" s="12">
        <v>31000</v>
      </c>
    </row>
    <row r="65" spans="1:10">
      <c r="A65" t="s">
        <v>382</v>
      </c>
      <c r="B65" t="s">
        <v>161</v>
      </c>
      <c r="D65" s="61">
        <v>8000</v>
      </c>
      <c r="E65" s="61">
        <v>1395</v>
      </c>
      <c r="F65" s="61">
        <v>2594</v>
      </c>
      <c r="G65" s="61">
        <v>2992</v>
      </c>
      <c r="H65" s="58">
        <v>0</v>
      </c>
      <c r="I65" s="58">
        <v>2256</v>
      </c>
      <c r="J65" s="12">
        <v>0</v>
      </c>
    </row>
    <row r="66" spans="1:10">
      <c r="A66" t="s">
        <v>151</v>
      </c>
      <c r="D66" s="61"/>
      <c r="E66" s="61"/>
      <c r="F66" s="61"/>
      <c r="G66" s="61"/>
      <c r="H66" s="58"/>
      <c r="I66" s="58"/>
      <c r="J66" s="12"/>
    </row>
    <row r="67" spans="1:10">
      <c r="A67" t="s">
        <v>383</v>
      </c>
      <c r="B67" t="s">
        <v>154</v>
      </c>
      <c r="D67" s="61">
        <v>0</v>
      </c>
      <c r="E67" s="61">
        <v>0</v>
      </c>
      <c r="F67" s="61">
        <v>0</v>
      </c>
      <c r="G67" s="61">
        <v>0</v>
      </c>
      <c r="H67" s="58">
        <v>0</v>
      </c>
      <c r="I67" s="58">
        <v>0</v>
      </c>
      <c r="J67" s="12">
        <v>0</v>
      </c>
    </row>
    <row r="68" spans="1:10">
      <c r="A68" t="s">
        <v>148</v>
      </c>
      <c r="D68" s="61"/>
      <c r="E68" s="61"/>
      <c r="F68" s="61"/>
      <c r="G68" s="61"/>
      <c r="H68" s="58"/>
      <c r="I68" s="58"/>
      <c r="J68" s="12"/>
    </row>
    <row r="69" spans="1:10">
      <c r="A69" t="s">
        <v>384</v>
      </c>
      <c r="B69" t="s">
        <v>149</v>
      </c>
      <c r="D69" s="12">
        <v>25579</v>
      </c>
      <c r="E69" s="12">
        <v>0</v>
      </c>
      <c r="F69" s="61">
        <v>35000</v>
      </c>
      <c r="G69" s="61">
        <v>0</v>
      </c>
      <c r="H69" s="58">
        <v>0</v>
      </c>
      <c r="I69" s="60">
        <v>0</v>
      </c>
      <c r="J69" s="12">
        <v>0</v>
      </c>
    </row>
    <row r="70" spans="1:10">
      <c r="A70" t="s">
        <v>141</v>
      </c>
      <c r="D70" s="61"/>
      <c r="E70" s="61"/>
      <c r="F70" s="61"/>
      <c r="G70" s="61"/>
      <c r="H70" s="58"/>
      <c r="I70" s="58"/>
      <c r="J70" s="12"/>
    </row>
    <row r="71" spans="1:10">
      <c r="A71" t="s">
        <v>385</v>
      </c>
      <c r="B71" t="s">
        <v>124</v>
      </c>
      <c r="D71" s="61">
        <v>400</v>
      </c>
      <c r="E71" s="61">
        <v>234</v>
      </c>
      <c r="F71" s="61">
        <v>0</v>
      </c>
      <c r="G71" s="61">
        <v>87</v>
      </c>
      <c r="H71" s="60">
        <v>0</v>
      </c>
      <c r="I71" s="58">
        <v>333</v>
      </c>
      <c r="J71" s="12">
        <v>184</v>
      </c>
    </row>
    <row r="72" spans="1:10">
      <c r="A72" t="s">
        <v>386</v>
      </c>
      <c r="B72" t="s">
        <v>123</v>
      </c>
      <c r="D72" s="61">
        <v>0</v>
      </c>
      <c r="E72" s="61">
        <v>0</v>
      </c>
      <c r="F72" s="61">
        <v>0</v>
      </c>
      <c r="G72" s="61">
        <v>0</v>
      </c>
      <c r="H72" s="60">
        <v>0</v>
      </c>
      <c r="I72" s="58">
        <v>0</v>
      </c>
      <c r="J72" s="12">
        <v>0</v>
      </c>
    </row>
    <row r="73" spans="1:10">
      <c r="A73" s="19" t="s">
        <v>740</v>
      </c>
      <c r="B73" s="19" t="s">
        <v>741</v>
      </c>
      <c r="D73" s="61">
        <v>0</v>
      </c>
      <c r="E73" s="61">
        <v>0</v>
      </c>
      <c r="F73" s="61">
        <v>40</v>
      </c>
      <c r="G73" s="61">
        <v>27</v>
      </c>
      <c r="H73" s="58">
        <v>0</v>
      </c>
      <c r="I73" s="58">
        <v>40</v>
      </c>
      <c r="J73" s="12">
        <v>0</v>
      </c>
    </row>
    <row r="74" spans="1:10">
      <c r="A74" t="s">
        <v>387</v>
      </c>
      <c r="B74" t="s">
        <v>142</v>
      </c>
      <c r="D74" s="61">
        <v>500</v>
      </c>
      <c r="E74" s="61">
        <v>0</v>
      </c>
      <c r="F74" s="61">
        <v>47</v>
      </c>
      <c r="G74" s="61">
        <v>560</v>
      </c>
      <c r="H74" s="58">
        <v>540</v>
      </c>
      <c r="I74" s="58">
        <v>333</v>
      </c>
      <c r="J74" s="12">
        <v>510</v>
      </c>
    </row>
    <row r="75" spans="1:10">
      <c r="A75" t="s">
        <v>388</v>
      </c>
      <c r="B75" t="s">
        <v>144</v>
      </c>
      <c r="D75" s="61">
        <v>86</v>
      </c>
      <c r="E75" s="61">
        <v>0</v>
      </c>
      <c r="F75" s="61">
        <v>86</v>
      </c>
      <c r="G75" s="61">
        <v>0</v>
      </c>
      <c r="H75" s="58">
        <v>10</v>
      </c>
      <c r="I75" s="58">
        <v>0</v>
      </c>
      <c r="J75" s="12">
        <v>10</v>
      </c>
    </row>
    <row r="76" spans="1:10">
      <c r="D76" s="61"/>
      <c r="E76" s="61"/>
      <c r="F76" s="61"/>
      <c r="G76" s="61"/>
      <c r="H76" s="58"/>
      <c r="I76" s="58"/>
      <c r="J76" s="12"/>
    </row>
    <row r="77" spans="1:10">
      <c r="A77" s="49"/>
      <c r="B77" s="38" t="s">
        <v>77</v>
      </c>
      <c r="D77" s="61">
        <f t="shared" ref="D77" si="0">SUM(D4:D76)</f>
        <v>220772.14515999999</v>
      </c>
      <c r="E77" s="61">
        <f t="shared" ref="E77:J77" si="1">SUM(E4:E76)</f>
        <v>183474.59999999995</v>
      </c>
      <c r="F77" s="61">
        <f t="shared" si="1"/>
        <v>175323.52900000001</v>
      </c>
      <c r="G77" s="61">
        <f t="shared" si="1"/>
        <v>111334.864</v>
      </c>
      <c r="H77" s="60">
        <f t="shared" si="1"/>
        <v>142142</v>
      </c>
      <c r="I77" s="57">
        <f t="shared" si="1"/>
        <v>154860</v>
      </c>
      <c r="J77" s="12">
        <f t="shared" si="1"/>
        <v>210519</v>
      </c>
    </row>
    <row r="78" spans="1:10">
      <c r="A78" s="59"/>
      <c r="G78" s="49"/>
      <c r="H78" s="49"/>
      <c r="I78" s="64"/>
      <c r="J78" s="12"/>
    </row>
    <row r="79" spans="1:10">
      <c r="A79" s="49"/>
      <c r="B79" s="97" t="s">
        <v>929</v>
      </c>
      <c r="D79" s="12">
        <v>0</v>
      </c>
      <c r="E79" s="12">
        <v>0</v>
      </c>
      <c r="F79" s="12"/>
      <c r="G79" s="12"/>
      <c r="H79" s="12"/>
      <c r="I79" s="12"/>
      <c r="J79" s="12"/>
    </row>
  </sheetData>
  <phoneticPr fontId="2" type="noConversion"/>
  <pageMargins left="0.25" right="0.25" top="0.75" bottom="0.75" header="0.3" footer="0.3"/>
  <pageSetup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dimension ref="A1:J72"/>
  <sheetViews>
    <sheetView topLeftCell="A40" workbookViewId="0">
      <selection activeCell="A55" sqref="A55:XFD56"/>
    </sheetView>
  </sheetViews>
  <sheetFormatPr defaultRowHeight="12.75"/>
  <cols>
    <col min="1" max="1" width="18.42578125" customWidth="1"/>
    <col min="2" max="2" width="27.42578125" customWidth="1"/>
    <col min="3" max="3" width="5.7109375" customWidth="1"/>
    <col min="4" max="4" width="11.7109375" customWidth="1"/>
    <col min="5" max="10" width="10.7109375" customWidth="1"/>
  </cols>
  <sheetData>
    <row r="1" spans="1:10" ht="15.75">
      <c r="B1" s="20" t="s">
        <v>655</v>
      </c>
      <c r="D1" s="21">
        <v>2013</v>
      </c>
      <c r="E1" s="74">
        <v>2012</v>
      </c>
      <c r="F1" s="74">
        <v>2011</v>
      </c>
      <c r="G1" s="24">
        <v>2010</v>
      </c>
      <c r="H1" s="74">
        <v>2009</v>
      </c>
      <c r="I1" s="24">
        <v>2008</v>
      </c>
      <c r="J1" s="24">
        <v>2007</v>
      </c>
    </row>
    <row r="2" spans="1:10">
      <c r="A2" t="s">
        <v>108</v>
      </c>
      <c r="D2" s="24" t="s">
        <v>676</v>
      </c>
      <c r="E2" s="74" t="s">
        <v>677</v>
      </c>
      <c r="F2" s="74" t="s">
        <v>677</v>
      </c>
      <c r="G2" s="74" t="s">
        <v>677</v>
      </c>
      <c r="H2" s="74" t="s">
        <v>677</v>
      </c>
      <c r="I2" s="25" t="s">
        <v>677</v>
      </c>
      <c r="J2" s="25" t="s">
        <v>677</v>
      </c>
    </row>
    <row r="3" spans="1:10">
      <c r="A3" t="s">
        <v>253</v>
      </c>
    </row>
    <row r="4" spans="1:10">
      <c r="A4" t="s">
        <v>702</v>
      </c>
      <c r="B4" t="s">
        <v>703</v>
      </c>
      <c r="D4" s="12">
        <v>0</v>
      </c>
      <c r="E4" s="12">
        <v>0</v>
      </c>
      <c r="F4" s="12">
        <v>0</v>
      </c>
      <c r="G4" s="12">
        <v>0</v>
      </c>
      <c r="H4" s="12">
        <v>0</v>
      </c>
      <c r="I4" s="12">
        <v>133.55000000000001</v>
      </c>
      <c r="J4" s="12">
        <v>2497</v>
      </c>
    </row>
    <row r="5" spans="1:10">
      <c r="A5" t="s">
        <v>663</v>
      </c>
      <c r="B5" t="s">
        <v>62</v>
      </c>
      <c r="D5" s="12">
        <v>0</v>
      </c>
      <c r="E5" s="12">
        <v>0</v>
      </c>
      <c r="F5" s="12">
        <v>0</v>
      </c>
      <c r="G5" s="12">
        <v>0</v>
      </c>
      <c r="H5" s="12">
        <v>0</v>
      </c>
      <c r="I5" s="12">
        <v>0</v>
      </c>
      <c r="J5" s="12">
        <v>0</v>
      </c>
    </row>
    <row r="6" spans="1:10">
      <c r="A6" t="s">
        <v>249</v>
      </c>
      <c r="D6" s="12"/>
      <c r="E6" s="12"/>
      <c r="F6" s="12"/>
      <c r="G6" s="12"/>
      <c r="H6" s="12"/>
      <c r="I6" s="12"/>
      <c r="J6" s="12"/>
    </row>
    <row r="7" spans="1:10">
      <c r="A7" t="s">
        <v>389</v>
      </c>
      <c r="B7" t="s">
        <v>111</v>
      </c>
      <c r="D7" s="12">
        <v>0</v>
      </c>
      <c r="E7" s="12">
        <v>0</v>
      </c>
      <c r="F7" s="12">
        <v>0</v>
      </c>
      <c r="G7" s="12">
        <v>0</v>
      </c>
      <c r="H7" s="12">
        <v>0</v>
      </c>
      <c r="I7" s="12">
        <v>8</v>
      </c>
      <c r="J7" s="12">
        <v>155</v>
      </c>
    </row>
    <row r="8" spans="1:10">
      <c r="A8" t="s">
        <v>390</v>
      </c>
      <c r="B8" t="s">
        <v>113</v>
      </c>
      <c r="D8" s="12">
        <v>0</v>
      </c>
      <c r="E8" s="12">
        <v>0</v>
      </c>
      <c r="F8" s="12">
        <v>0</v>
      </c>
      <c r="G8" s="12">
        <v>0</v>
      </c>
      <c r="H8" s="12">
        <v>0</v>
      </c>
      <c r="I8" s="12">
        <v>2</v>
      </c>
      <c r="J8" s="12">
        <v>36</v>
      </c>
    </row>
    <row r="9" spans="1:10">
      <c r="A9" t="s">
        <v>244</v>
      </c>
      <c r="D9" s="12"/>
      <c r="E9" s="12"/>
      <c r="F9" s="12"/>
      <c r="G9" s="12"/>
      <c r="H9" s="12"/>
      <c r="I9" s="12"/>
      <c r="J9" s="12"/>
    </row>
    <row r="10" spans="1:10">
      <c r="A10" t="s">
        <v>391</v>
      </c>
      <c r="B10" t="s">
        <v>246</v>
      </c>
      <c r="D10" s="12"/>
      <c r="E10" s="12"/>
      <c r="F10" s="12"/>
      <c r="G10" s="12"/>
      <c r="H10" s="12"/>
      <c r="I10" s="12"/>
      <c r="J10" s="12"/>
    </row>
    <row r="11" spans="1:10">
      <c r="A11" t="s">
        <v>392</v>
      </c>
      <c r="B11" t="s">
        <v>248</v>
      </c>
      <c r="D11" s="12"/>
      <c r="E11" s="12"/>
      <c r="F11" s="12"/>
      <c r="G11" s="12"/>
      <c r="H11" s="12"/>
      <c r="I11" s="12"/>
      <c r="J11" s="12"/>
    </row>
    <row r="12" spans="1:10">
      <c r="A12" t="s">
        <v>58</v>
      </c>
      <c r="D12" s="12"/>
      <c r="E12" s="12"/>
      <c r="F12" s="12"/>
      <c r="G12" s="12"/>
      <c r="H12" s="12"/>
      <c r="I12" s="12"/>
      <c r="J12" s="12"/>
    </row>
    <row r="13" spans="1:10">
      <c r="A13" t="s">
        <v>393</v>
      </c>
      <c r="B13" t="s">
        <v>243</v>
      </c>
      <c r="D13" s="12">
        <v>0</v>
      </c>
      <c r="E13" s="12">
        <v>217</v>
      </c>
      <c r="F13" s="12">
        <v>817</v>
      </c>
      <c r="G13" s="12">
        <v>0</v>
      </c>
      <c r="H13" s="12">
        <v>361</v>
      </c>
      <c r="I13" s="12">
        <v>285</v>
      </c>
      <c r="J13" s="12">
        <v>1445</v>
      </c>
    </row>
    <row r="14" spans="1:10">
      <c r="A14" t="s">
        <v>44</v>
      </c>
      <c r="D14" s="12"/>
      <c r="E14" s="12"/>
      <c r="F14" s="12"/>
      <c r="G14" s="12"/>
      <c r="H14" s="12"/>
      <c r="I14" s="12"/>
      <c r="J14" s="12"/>
    </row>
    <row r="15" spans="1:10">
      <c r="A15" t="s">
        <v>394</v>
      </c>
      <c r="B15" t="s">
        <v>48</v>
      </c>
      <c r="D15" s="12"/>
      <c r="E15" s="12"/>
      <c r="F15" s="12"/>
      <c r="G15" s="12"/>
      <c r="H15" s="12"/>
      <c r="I15" s="12"/>
      <c r="J15" s="12"/>
    </row>
    <row r="16" spans="1:10">
      <c r="A16" t="s">
        <v>208</v>
      </c>
      <c r="D16" s="12"/>
      <c r="E16" s="12"/>
      <c r="F16" s="12"/>
      <c r="G16" s="12"/>
      <c r="H16" s="12"/>
      <c r="I16" s="12"/>
      <c r="J16" s="12"/>
    </row>
    <row r="17" spans="1:10">
      <c r="A17" t="s">
        <v>704</v>
      </c>
      <c r="B17" t="s">
        <v>210</v>
      </c>
      <c r="D17" s="12">
        <v>1000</v>
      </c>
      <c r="E17" s="12">
        <v>1390.47</v>
      </c>
      <c r="F17" s="12">
        <v>1017</v>
      </c>
      <c r="G17" s="12">
        <v>879</v>
      </c>
      <c r="H17" s="12">
        <v>510</v>
      </c>
      <c r="I17" s="12">
        <v>744</v>
      </c>
      <c r="J17" s="12">
        <v>248</v>
      </c>
    </row>
    <row r="18" spans="1:10">
      <c r="A18" t="s">
        <v>395</v>
      </c>
      <c r="B18" t="s">
        <v>212</v>
      </c>
      <c r="D18" s="12">
        <v>500</v>
      </c>
      <c r="E18" s="12">
        <v>959.69</v>
      </c>
      <c r="F18" s="12">
        <v>485</v>
      </c>
      <c r="G18" s="12">
        <v>82</v>
      </c>
      <c r="H18" s="12">
        <v>0</v>
      </c>
      <c r="I18" s="12">
        <v>329</v>
      </c>
      <c r="J18" s="12">
        <v>0</v>
      </c>
    </row>
    <row r="19" spans="1:10">
      <c r="A19" t="s">
        <v>396</v>
      </c>
      <c r="B19" t="s">
        <v>234</v>
      </c>
      <c r="D19" s="12">
        <v>50</v>
      </c>
      <c r="E19" s="12">
        <v>0</v>
      </c>
      <c r="F19" s="12">
        <v>0</v>
      </c>
      <c r="G19" s="12">
        <v>0</v>
      </c>
      <c r="H19" s="12">
        <v>0</v>
      </c>
      <c r="I19" s="12">
        <v>0</v>
      </c>
      <c r="J19" s="12">
        <v>0</v>
      </c>
    </row>
    <row r="20" spans="1:10">
      <c r="A20" t="s">
        <v>397</v>
      </c>
      <c r="B20" t="s">
        <v>42</v>
      </c>
      <c r="D20" s="12">
        <v>400</v>
      </c>
      <c r="E20" s="12">
        <v>0</v>
      </c>
      <c r="F20" s="12">
        <v>53</v>
      </c>
      <c r="G20" s="12">
        <v>704</v>
      </c>
      <c r="H20" s="12">
        <v>160</v>
      </c>
      <c r="I20" s="12">
        <v>496</v>
      </c>
      <c r="J20" s="12">
        <v>1897</v>
      </c>
    </row>
    <row r="21" spans="1:10">
      <c r="A21" t="s">
        <v>398</v>
      </c>
      <c r="B21" t="s">
        <v>43</v>
      </c>
      <c r="D21" s="12">
        <v>3000</v>
      </c>
      <c r="E21" s="12">
        <v>888.97</v>
      </c>
      <c r="F21" s="12">
        <f>301+46</f>
        <v>347</v>
      </c>
      <c r="G21" s="12">
        <v>727</v>
      </c>
      <c r="H21" s="12">
        <v>75</v>
      </c>
      <c r="I21" s="12">
        <v>3397</v>
      </c>
      <c r="J21" s="12">
        <v>3487</v>
      </c>
    </row>
    <row r="22" spans="1:10">
      <c r="A22" t="s">
        <v>28</v>
      </c>
      <c r="D22" s="12"/>
      <c r="E22" s="12"/>
      <c r="F22" s="12"/>
      <c r="G22" s="12"/>
      <c r="H22" s="12"/>
      <c r="I22" s="12"/>
      <c r="J22" s="12"/>
    </row>
    <row r="23" spans="1:10">
      <c r="A23" t="s">
        <v>399</v>
      </c>
      <c r="B23" t="s">
        <v>199</v>
      </c>
      <c r="D23" s="12">
        <v>1500</v>
      </c>
      <c r="E23" s="12">
        <v>1362.04</v>
      </c>
      <c r="F23" s="12">
        <v>1414</v>
      </c>
      <c r="G23" s="12">
        <v>897</v>
      </c>
      <c r="H23" s="12">
        <v>464</v>
      </c>
      <c r="I23" s="12">
        <v>1302</v>
      </c>
      <c r="J23" s="12">
        <v>1887</v>
      </c>
    </row>
    <row r="24" spans="1:10">
      <c r="A24" t="s">
        <v>705</v>
      </c>
      <c r="B24" t="s">
        <v>202</v>
      </c>
      <c r="D24" s="12">
        <v>0</v>
      </c>
      <c r="E24" s="12">
        <v>0</v>
      </c>
      <c r="F24" s="12">
        <v>1218</v>
      </c>
      <c r="G24" s="12">
        <v>571</v>
      </c>
      <c r="H24" s="12">
        <v>206</v>
      </c>
      <c r="I24" s="12">
        <v>43</v>
      </c>
      <c r="J24" s="12">
        <v>62</v>
      </c>
    </row>
    <row r="25" spans="1:10">
      <c r="A25" t="s">
        <v>400</v>
      </c>
      <c r="B25" t="s">
        <v>203</v>
      </c>
      <c r="D25" s="12">
        <v>0</v>
      </c>
      <c r="E25" s="12">
        <v>0</v>
      </c>
      <c r="F25" s="12">
        <v>0</v>
      </c>
      <c r="G25" s="12">
        <v>0</v>
      </c>
      <c r="H25" s="12">
        <v>55</v>
      </c>
      <c r="I25" s="12">
        <v>8</v>
      </c>
      <c r="J25" s="12">
        <v>3114</v>
      </c>
    </row>
    <row r="26" spans="1:10">
      <c r="A26" t="s">
        <v>401</v>
      </c>
      <c r="B26" t="s">
        <v>204</v>
      </c>
      <c r="D26" s="12">
        <v>1600</v>
      </c>
      <c r="E26" s="12">
        <v>1938.61</v>
      </c>
      <c r="F26" s="12">
        <v>542</v>
      </c>
      <c r="G26" s="12">
        <v>184</v>
      </c>
      <c r="H26" s="12">
        <v>104</v>
      </c>
      <c r="I26" s="30">
        <v>1632</v>
      </c>
      <c r="J26" s="12">
        <v>198</v>
      </c>
    </row>
    <row r="27" spans="1:10">
      <c r="A27" t="s">
        <v>402</v>
      </c>
      <c r="B27" t="s">
        <v>205</v>
      </c>
      <c r="D27" s="12">
        <v>1000</v>
      </c>
      <c r="E27" s="12">
        <v>597.19000000000005</v>
      </c>
      <c r="F27" s="12">
        <v>2296</v>
      </c>
      <c r="G27" s="12">
        <v>646</v>
      </c>
      <c r="H27" s="12">
        <v>137</v>
      </c>
      <c r="I27" s="12">
        <v>3141</v>
      </c>
      <c r="J27" s="12">
        <v>373</v>
      </c>
    </row>
    <row r="28" spans="1:10">
      <c r="A28" t="s">
        <v>403</v>
      </c>
      <c r="B28" t="s">
        <v>207</v>
      </c>
      <c r="D28" s="12">
        <v>750</v>
      </c>
      <c r="E28" s="12">
        <v>0</v>
      </c>
      <c r="F28" s="12">
        <v>768</v>
      </c>
      <c r="G28" s="12">
        <v>473</v>
      </c>
      <c r="H28" s="12">
        <v>212</v>
      </c>
      <c r="I28" s="12">
        <v>154</v>
      </c>
      <c r="J28" s="12">
        <v>0</v>
      </c>
    </row>
    <row r="29" spans="1:10">
      <c r="A29" t="s">
        <v>20</v>
      </c>
      <c r="D29" s="12"/>
      <c r="E29" s="12"/>
      <c r="F29" s="12"/>
      <c r="G29" s="12"/>
      <c r="H29" s="12"/>
      <c r="I29" s="12"/>
      <c r="J29" s="12"/>
    </row>
    <row r="30" spans="1:10">
      <c r="A30" t="s">
        <v>404</v>
      </c>
      <c r="B30" t="s">
        <v>27</v>
      </c>
      <c r="D30" s="12"/>
      <c r="E30" s="12"/>
      <c r="F30" s="12"/>
      <c r="G30" s="12"/>
      <c r="H30" s="12"/>
      <c r="I30" s="12"/>
      <c r="J30" s="12"/>
    </row>
    <row r="31" spans="1:10">
      <c r="A31" t="s">
        <v>9</v>
      </c>
      <c r="D31" s="12"/>
      <c r="E31" s="12"/>
      <c r="F31" s="12"/>
      <c r="G31" s="12"/>
      <c r="H31" s="12"/>
      <c r="I31" s="12"/>
      <c r="J31" s="12"/>
    </row>
    <row r="32" spans="1:10">
      <c r="A32" t="s">
        <v>700</v>
      </c>
      <c r="B32" t="s">
        <v>701</v>
      </c>
      <c r="D32" s="58">
        <v>0</v>
      </c>
      <c r="E32" s="58">
        <v>0</v>
      </c>
      <c r="F32" s="58">
        <v>0</v>
      </c>
      <c r="G32" s="58">
        <v>0</v>
      </c>
      <c r="H32" s="58">
        <v>0</v>
      </c>
      <c r="I32" s="58">
        <v>0</v>
      </c>
      <c r="J32" s="12">
        <v>0</v>
      </c>
    </row>
    <row r="33" spans="1:10">
      <c r="A33" t="s">
        <v>405</v>
      </c>
      <c r="B33" t="s">
        <v>125</v>
      </c>
      <c r="D33" s="57">
        <v>5000</v>
      </c>
      <c r="E33" s="57">
        <v>4354.4399999999996</v>
      </c>
      <c r="F33" s="57">
        <v>5036</v>
      </c>
      <c r="G33" s="57">
        <v>4307</v>
      </c>
      <c r="H33" s="60">
        <v>11077</v>
      </c>
      <c r="I33" s="58">
        <v>11955.95</v>
      </c>
      <c r="J33" s="12">
        <v>1965</v>
      </c>
    </row>
    <row r="34" spans="1:10">
      <c r="A34" t="s">
        <v>8</v>
      </c>
      <c r="D34" s="58"/>
      <c r="E34" s="58"/>
      <c r="F34" s="58"/>
      <c r="G34" s="58"/>
      <c r="H34" s="58"/>
      <c r="I34" s="58"/>
      <c r="J34" s="12"/>
    </row>
    <row r="35" spans="1:10">
      <c r="A35" t="s">
        <v>406</v>
      </c>
      <c r="B35" t="s">
        <v>119</v>
      </c>
      <c r="D35" s="58">
        <v>0</v>
      </c>
      <c r="E35" s="58">
        <v>0</v>
      </c>
      <c r="F35" s="58">
        <v>0</v>
      </c>
      <c r="G35" s="58">
        <v>0</v>
      </c>
      <c r="H35" s="58">
        <v>0</v>
      </c>
      <c r="I35" s="58">
        <v>0</v>
      </c>
      <c r="J35" s="12">
        <v>0</v>
      </c>
    </row>
    <row r="36" spans="1:10">
      <c r="A36" t="s">
        <v>193</v>
      </c>
      <c r="D36" s="58"/>
      <c r="E36" s="58"/>
      <c r="F36" s="58"/>
      <c r="G36" s="58"/>
      <c r="H36" s="58"/>
      <c r="I36" s="58"/>
      <c r="J36" s="12"/>
    </row>
    <row r="37" spans="1:10">
      <c r="A37" t="s">
        <v>407</v>
      </c>
      <c r="B37" t="s">
        <v>195</v>
      </c>
      <c r="D37" s="58">
        <v>0</v>
      </c>
      <c r="E37" s="58">
        <v>0</v>
      </c>
      <c r="F37" s="58">
        <v>0</v>
      </c>
      <c r="G37" s="58">
        <v>0</v>
      </c>
      <c r="H37" s="58">
        <v>0</v>
      </c>
      <c r="I37" s="58">
        <v>0</v>
      </c>
      <c r="J37" s="12">
        <v>2745</v>
      </c>
    </row>
    <row r="38" spans="1:10">
      <c r="A38" t="s">
        <v>186</v>
      </c>
      <c r="D38" s="58"/>
      <c r="E38" s="58"/>
      <c r="F38" s="58"/>
      <c r="G38" s="58"/>
      <c r="H38" s="58"/>
      <c r="I38" s="58"/>
      <c r="J38" s="12"/>
    </row>
    <row r="39" spans="1:10">
      <c r="A39" t="s">
        <v>706</v>
      </c>
      <c r="B39" s="19" t="s">
        <v>190</v>
      </c>
      <c r="D39" s="58">
        <v>0</v>
      </c>
      <c r="E39" s="58">
        <v>0</v>
      </c>
      <c r="F39" s="58">
        <v>0</v>
      </c>
      <c r="G39" s="58">
        <v>0</v>
      </c>
      <c r="H39" s="58">
        <v>0</v>
      </c>
      <c r="I39" s="58">
        <v>19</v>
      </c>
      <c r="J39" s="12">
        <v>43</v>
      </c>
    </row>
    <row r="40" spans="1:10">
      <c r="A40" t="s">
        <v>408</v>
      </c>
      <c r="B40" t="s">
        <v>191</v>
      </c>
      <c r="D40" s="58">
        <v>100</v>
      </c>
      <c r="E40" s="58">
        <v>0</v>
      </c>
      <c r="F40" s="58">
        <v>21</v>
      </c>
      <c r="G40" s="58">
        <v>0</v>
      </c>
      <c r="H40" s="58">
        <v>0</v>
      </c>
      <c r="I40" s="58">
        <v>57</v>
      </c>
      <c r="J40" s="12">
        <v>271</v>
      </c>
    </row>
    <row r="41" spans="1:10">
      <c r="A41" t="s">
        <v>180</v>
      </c>
      <c r="D41" s="58"/>
      <c r="E41" s="58"/>
      <c r="F41" s="58"/>
      <c r="G41" s="58"/>
      <c r="H41" s="58"/>
      <c r="I41" s="58"/>
      <c r="J41" s="12"/>
    </row>
    <row r="42" spans="1:10">
      <c r="A42" t="s">
        <v>409</v>
      </c>
      <c r="B42" t="s">
        <v>183</v>
      </c>
      <c r="D42" s="58">
        <v>0</v>
      </c>
      <c r="E42" s="58">
        <v>0</v>
      </c>
      <c r="F42" s="58">
        <v>0</v>
      </c>
      <c r="G42" s="58">
        <v>32</v>
      </c>
      <c r="H42" s="58">
        <v>182</v>
      </c>
      <c r="I42" s="58">
        <v>30</v>
      </c>
      <c r="J42" s="12">
        <v>28</v>
      </c>
    </row>
    <row r="43" spans="1:10">
      <c r="A43" t="s">
        <v>173</v>
      </c>
      <c r="D43" s="58"/>
      <c r="E43" s="58"/>
      <c r="F43" s="58"/>
      <c r="G43" s="58"/>
      <c r="H43" s="58"/>
      <c r="I43" s="58"/>
      <c r="J43" s="12"/>
    </row>
    <row r="44" spans="1:10">
      <c r="A44" t="s">
        <v>410</v>
      </c>
      <c r="B44" t="s">
        <v>115</v>
      </c>
      <c r="D44" s="57">
        <f>126*110%</f>
        <v>138.60000000000002</v>
      </c>
      <c r="E44" s="57">
        <v>125.55</v>
      </c>
      <c r="F44" s="57">
        <v>93</v>
      </c>
      <c r="G44" s="57">
        <v>120</v>
      </c>
      <c r="H44" s="58">
        <v>230</v>
      </c>
      <c r="I44" s="58">
        <v>230</v>
      </c>
      <c r="J44" s="12">
        <v>0</v>
      </c>
    </row>
    <row r="45" spans="1:10">
      <c r="A45" t="s">
        <v>411</v>
      </c>
      <c r="B45" t="s">
        <v>176</v>
      </c>
      <c r="D45" s="57">
        <f>7286*107%</f>
        <v>7796.02</v>
      </c>
      <c r="E45" s="57">
        <v>7286</v>
      </c>
      <c r="F45" s="57">
        <v>5172</v>
      </c>
      <c r="G45" s="57">
        <v>7019</v>
      </c>
      <c r="H45" s="58">
        <v>6907</v>
      </c>
      <c r="I45" s="58">
        <v>6686</v>
      </c>
      <c r="J45" s="12">
        <v>6168</v>
      </c>
    </row>
    <row r="46" spans="1:10">
      <c r="A46" t="s">
        <v>412</v>
      </c>
      <c r="B46" t="s">
        <v>177</v>
      </c>
      <c r="D46" s="57">
        <f>120*105%</f>
        <v>126</v>
      </c>
      <c r="E46" s="57">
        <v>120</v>
      </c>
      <c r="F46" s="57">
        <v>92</v>
      </c>
      <c r="G46" s="57">
        <v>124</v>
      </c>
      <c r="H46" s="58">
        <v>131</v>
      </c>
      <c r="I46" s="58">
        <v>143</v>
      </c>
      <c r="J46" s="12">
        <v>143</v>
      </c>
    </row>
    <row r="47" spans="1:10">
      <c r="A47" t="s">
        <v>163</v>
      </c>
      <c r="D47" s="58"/>
      <c r="E47" s="58"/>
      <c r="F47" s="58"/>
      <c r="G47" s="58"/>
      <c r="H47" s="58"/>
      <c r="I47" s="58"/>
      <c r="J47" s="12"/>
    </row>
    <row r="48" spans="1:10">
      <c r="A48" t="s">
        <v>413</v>
      </c>
      <c r="B48" t="s">
        <v>164</v>
      </c>
      <c r="D48" s="57">
        <f>4488*109%</f>
        <v>4891.92</v>
      </c>
      <c r="E48" s="57">
        <v>4708.4799999999996</v>
      </c>
      <c r="F48" s="57">
        <v>4358</v>
      </c>
      <c r="G48" s="57">
        <v>3041</v>
      </c>
      <c r="H48" s="58">
        <v>2907</v>
      </c>
      <c r="I48" s="58">
        <v>3046</v>
      </c>
      <c r="J48" s="12">
        <v>2558</v>
      </c>
    </row>
    <row r="49" spans="1:10">
      <c r="A49" t="s">
        <v>707</v>
      </c>
      <c r="B49" t="s">
        <v>165</v>
      </c>
      <c r="D49" s="58">
        <f>200*111%</f>
        <v>222.00000000000003</v>
      </c>
      <c r="E49" s="58">
        <v>280.01</v>
      </c>
      <c r="F49" s="58">
        <v>196</v>
      </c>
      <c r="G49" s="58">
        <v>164</v>
      </c>
      <c r="H49" s="58">
        <v>155</v>
      </c>
      <c r="I49" s="58">
        <v>148</v>
      </c>
      <c r="J49" s="12">
        <v>10</v>
      </c>
    </row>
    <row r="50" spans="1:10">
      <c r="A50" t="s">
        <v>414</v>
      </c>
      <c r="B50" t="s">
        <v>166</v>
      </c>
      <c r="D50" s="58">
        <v>1000</v>
      </c>
      <c r="E50" s="58">
        <v>761.22</v>
      </c>
      <c r="F50" s="58">
        <v>760</v>
      </c>
      <c r="G50" s="58">
        <v>791</v>
      </c>
      <c r="H50" s="58">
        <v>901</v>
      </c>
      <c r="I50" s="58">
        <v>1259</v>
      </c>
      <c r="J50" s="12">
        <v>884</v>
      </c>
    </row>
    <row r="51" spans="1:10">
      <c r="A51" t="s">
        <v>415</v>
      </c>
      <c r="B51" t="s">
        <v>167</v>
      </c>
      <c r="D51" s="58">
        <v>3000</v>
      </c>
      <c r="E51" s="58">
        <v>1838.87</v>
      </c>
      <c r="F51" s="58">
        <v>2936</v>
      </c>
      <c r="G51" s="58">
        <v>2145</v>
      </c>
      <c r="H51" s="58">
        <v>2437</v>
      </c>
      <c r="I51" s="58">
        <v>2748</v>
      </c>
      <c r="J51" s="12">
        <v>2376</v>
      </c>
    </row>
    <row r="52" spans="1:10">
      <c r="A52" t="s">
        <v>708</v>
      </c>
      <c r="B52" t="s">
        <v>168</v>
      </c>
      <c r="D52" s="57">
        <f>238*111%</f>
        <v>264.18</v>
      </c>
      <c r="E52" s="57">
        <v>325.67</v>
      </c>
      <c r="F52" s="57">
        <v>238</v>
      </c>
      <c r="G52" s="57">
        <v>206</v>
      </c>
      <c r="H52" s="58">
        <v>178</v>
      </c>
      <c r="I52" s="58">
        <v>153</v>
      </c>
      <c r="J52" s="12">
        <v>20</v>
      </c>
    </row>
    <row r="53" spans="1:10">
      <c r="A53" s="19" t="s">
        <v>665</v>
      </c>
      <c r="D53" s="58"/>
      <c r="E53" s="58"/>
      <c r="F53" s="58"/>
      <c r="G53" s="58"/>
      <c r="H53" s="58"/>
      <c r="I53" s="58"/>
      <c r="J53" s="12"/>
    </row>
    <row r="54" spans="1:10">
      <c r="A54" s="19" t="s">
        <v>742</v>
      </c>
      <c r="B54" s="19" t="s">
        <v>743</v>
      </c>
      <c r="D54" s="58">
        <v>0</v>
      </c>
      <c r="E54" s="58">
        <v>0</v>
      </c>
      <c r="F54" s="58">
        <v>0</v>
      </c>
      <c r="G54" s="58">
        <v>1188</v>
      </c>
      <c r="H54" s="58">
        <v>211</v>
      </c>
      <c r="I54" s="58">
        <v>3556</v>
      </c>
      <c r="J54" s="12">
        <v>0</v>
      </c>
    </row>
    <row r="55" spans="1:10">
      <c r="A55" t="s">
        <v>157</v>
      </c>
      <c r="D55" s="58"/>
      <c r="E55" s="58"/>
      <c r="F55" s="58"/>
      <c r="G55" s="58"/>
      <c r="H55" s="58"/>
      <c r="I55" s="58"/>
      <c r="J55" s="12"/>
    </row>
    <row r="56" spans="1:10">
      <c r="A56" t="s">
        <v>661</v>
      </c>
      <c r="B56" t="s">
        <v>158</v>
      </c>
      <c r="D56" s="57">
        <v>5000</v>
      </c>
      <c r="E56" s="57">
        <v>4285.25</v>
      </c>
      <c r="F56" s="57">
        <v>2100</v>
      </c>
      <c r="G56" s="57">
        <v>960</v>
      </c>
      <c r="H56" s="58">
        <v>1040</v>
      </c>
      <c r="I56" s="61">
        <v>868</v>
      </c>
      <c r="J56" s="12">
        <v>0</v>
      </c>
    </row>
    <row r="57" spans="1:10">
      <c r="A57" t="s">
        <v>416</v>
      </c>
      <c r="B57" t="s">
        <v>160</v>
      </c>
      <c r="D57" s="58">
        <v>11000</v>
      </c>
      <c r="E57" s="58">
        <v>0</v>
      </c>
      <c r="F57" s="58">
        <v>115</v>
      </c>
      <c r="G57" s="58">
        <v>2216</v>
      </c>
      <c r="H57" s="58">
        <v>7661</v>
      </c>
      <c r="I57" s="58">
        <v>6961</v>
      </c>
      <c r="J57" s="12">
        <v>10948</v>
      </c>
    </row>
    <row r="58" spans="1:10">
      <c r="A58" t="s">
        <v>417</v>
      </c>
      <c r="B58" t="s">
        <v>161</v>
      </c>
      <c r="D58" s="58"/>
      <c r="E58" s="58"/>
      <c r="F58" s="58"/>
      <c r="G58" s="58"/>
      <c r="H58" s="58"/>
      <c r="I58" s="58"/>
      <c r="J58" s="12"/>
    </row>
    <row r="59" spans="1:10">
      <c r="A59" t="s">
        <v>151</v>
      </c>
      <c r="D59" s="58"/>
      <c r="E59" s="58"/>
      <c r="F59" s="58"/>
      <c r="G59" s="58"/>
      <c r="H59" s="58"/>
      <c r="I59" s="58"/>
      <c r="J59" s="12"/>
    </row>
    <row r="60" spans="1:10">
      <c r="A60" t="s">
        <v>418</v>
      </c>
      <c r="B60" t="s">
        <v>153</v>
      </c>
      <c r="D60" s="58">
        <v>0</v>
      </c>
      <c r="E60" s="58">
        <v>0</v>
      </c>
      <c r="F60" s="58">
        <v>0</v>
      </c>
      <c r="G60" s="58">
        <v>0</v>
      </c>
      <c r="H60" s="58">
        <v>0</v>
      </c>
      <c r="I60" s="58">
        <v>0</v>
      </c>
      <c r="J60" s="12">
        <v>6</v>
      </c>
    </row>
    <row r="61" spans="1:10">
      <c r="A61" t="s">
        <v>419</v>
      </c>
      <c r="B61" t="s">
        <v>154</v>
      </c>
      <c r="D61" s="58">
        <v>0</v>
      </c>
      <c r="E61" s="58">
        <v>0</v>
      </c>
      <c r="F61" s="58">
        <v>0</v>
      </c>
      <c r="G61" s="58">
        <v>0</v>
      </c>
      <c r="H61" s="58">
        <v>100</v>
      </c>
      <c r="I61" s="58">
        <v>250</v>
      </c>
      <c r="J61" s="12">
        <v>0</v>
      </c>
    </row>
    <row r="62" spans="1:10">
      <c r="A62" t="s">
        <v>420</v>
      </c>
      <c r="B62" t="s">
        <v>155</v>
      </c>
      <c r="D62" s="58">
        <v>0</v>
      </c>
      <c r="E62" s="58">
        <v>0</v>
      </c>
      <c r="F62" s="58">
        <v>0</v>
      </c>
      <c r="G62" s="58">
        <v>0</v>
      </c>
      <c r="H62" s="58">
        <v>0</v>
      </c>
      <c r="I62" s="58">
        <v>0</v>
      </c>
      <c r="J62" s="12">
        <v>0</v>
      </c>
    </row>
    <row r="63" spans="1:10">
      <c r="A63" t="s">
        <v>148</v>
      </c>
      <c r="D63" s="58"/>
      <c r="E63" s="58"/>
      <c r="F63" s="58"/>
      <c r="G63" s="58"/>
      <c r="H63" s="58"/>
      <c r="I63" s="58"/>
      <c r="J63" s="12"/>
    </row>
    <row r="64" spans="1:10">
      <c r="A64" t="s">
        <v>421</v>
      </c>
      <c r="B64" s="19" t="s">
        <v>149</v>
      </c>
      <c r="D64" s="58">
        <v>1456</v>
      </c>
      <c r="E64" s="58">
        <v>0</v>
      </c>
      <c r="F64" s="58">
        <v>0</v>
      </c>
      <c r="G64" s="58">
        <v>0</v>
      </c>
      <c r="H64" s="58">
        <v>0</v>
      </c>
      <c r="I64" s="60">
        <v>0</v>
      </c>
      <c r="J64" s="12">
        <v>0</v>
      </c>
    </row>
    <row r="65" spans="1:10">
      <c r="A65" t="s">
        <v>141</v>
      </c>
      <c r="D65" s="58"/>
      <c r="E65" s="58"/>
      <c r="F65" s="58"/>
      <c r="G65" s="58"/>
      <c r="H65" s="58"/>
      <c r="I65" s="58"/>
      <c r="J65" s="12"/>
    </row>
    <row r="66" spans="1:10">
      <c r="A66" t="s">
        <v>422</v>
      </c>
      <c r="B66" t="s">
        <v>124</v>
      </c>
      <c r="D66" s="58">
        <v>315</v>
      </c>
      <c r="E66" s="58">
        <v>361</v>
      </c>
      <c r="F66" s="58">
        <v>650</v>
      </c>
      <c r="G66" s="58">
        <v>15</v>
      </c>
      <c r="H66" s="58">
        <v>0</v>
      </c>
      <c r="I66" s="58">
        <v>14.5</v>
      </c>
      <c r="J66" s="12">
        <v>350</v>
      </c>
    </row>
    <row r="67" spans="1:10">
      <c r="A67" t="s">
        <v>423</v>
      </c>
      <c r="B67" t="s">
        <v>123</v>
      </c>
      <c r="D67" s="58">
        <v>0</v>
      </c>
      <c r="E67" s="58">
        <v>0</v>
      </c>
      <c r="F67" s="58">
        <v>0</v>
      </c>
      <c r="G67" s="58">
        <v>8</v>
      </c>
      <c r="H67" s="58">
        <v>0</v>
      </c>
      <c r="I67" s="58">
        <v>0</v>
      </c>
      <c r="J67" s="12">
        <v>0</v>
      </c>
    </row>
    <row r="68" spans="1:10">
      <c r="A68" t="s">
        <v>424</v>
      </c>
      <c r="B68" t="s">
        <v>142</v>
      </c>
      <c r="D68" s="58">
        <v>500</v>
      </c>
      <c r="E68" s="58">
        <v>0</v>
      </c>
      <c r="F68" s="58">
        <v>0</v>
      </c>
      <c r="G68" s="58">
        <v>55</v>
      </c>
      <c r="H68" s="58">
        <v>25</v>
      </c>
      <c r="I68" s="58">
        <v>409</v>
      </c>
      <c r="J68" s="12">
        <v>7865</v>
      </c>
    </row>
    <row r="69" spans="1:10">
      <c r="D69" s="12"/>
      <c r="E69" s="58"/>
      <c r="F69" s="58"/>
      <c r="G69" s="58"/>
      <c r="H69" s="58"/>
      <c r="I69" s="58"/>
      <c r="J69" s="12"/>
    </row>
    <row r="70" spans="1:10">
      <c r="A70" s="49"/>
      <c r="B70" s="38" t="s">
        <v>77</v>
      </c>
      <c r="D70" s="12">
        <f>SUM(D4:D68)</f>
        <v>50609.72</v>
      </c>
      <c r="E70" s="57">
        <f t="shared" ref="E70:J70" si="0">SUM(E4:E69)</f>
        <v>31800.459999999995</v>
      </c>
      <c r="F70" s="57">
        <f t="shared" si="0"/>
        <v>30724</v>
      </c>
      <c r="G70" s="57">
        <f t="shared" si="0"/>
        <v>27554</v>
      </c>
      <c r="H70" s="60">
        <f t="shared" si="0"/>
        <v>36426</v>
      </c>
      <c r="I70" s="57">
        <f t="shared" si="0"/>
        <v>50208</v>
      </c>
      <c r="J70" s="12">
        <f t="shared" si="0"/>
        <v>51779</v>
      </c>
    </row>
    <row r="71" spans="1:10">
      <c r="A71" s="59"/>
      <c r="I71" s="17"/>
      <c r="J71" s="12"/>
    </row>
    <row r="72" spans="1:10">
      <c r="A72" s="49"/>
    </row>
  </sheetData>
  <phoneticPr fontId="2" type="noConversion"/>
  <pageMargins left="0.25" right="0.25" top="0.75" bottom="0.75" header="0.3" footer="0.3"/>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BUDGET SUMMARY</vt:lpstr>
      <vt:lpstr>General Fund Revenues</vt:lpstr>
      <vt:lpstr>Elections</vt:lpstr>
      <vt:lpstr>Council</vt:lpstr>
      <vt:lpstr>Administration</vt:lpstr>
      <vt:lpstr>Police</vt:lpstr>
      <vt:lpstr>Fire</vt:lpstr>
      <vt:lpstr>Streets</vt:lpstr>
      <vt:lpstr>Parks</vt:lpstr>
      <vt:lpstr>SWIM Center</vt:lpstr>
      <vt:lpstr>Summer Recreation</vt:lpstr>
      <vt:lpstr>Cable TV</vt:lpstr>
      <vt:lpstr>Enterprise Funds-Electric</vt:lpstr>
      <vt:lpstr>Enterprise Funds-Sewer</vt:lpstr>
      <vt:lpstr>Enterprise Funds-Water</vt:lpstr>
      <vt:lpstr>Library</vt:lpstr>
      <vt:lpstr>Enterprise Funds-Liquor Store</vt:lpstr>
      <vt:lpstr>Special Revenue Funds-Fest Bldg</vt:lpstr>
      <vt:lpstr>GO 2005A</vt:lpstr>
      <vt:lpstr>Pool Bonds 2012</vt:lpstr>
      <vt:lpstr>TIF GO 2007A</vt:lpstr>
      <vt:lpstr>Animal Control</vt:lpstr>
      <vt:lpstr>Old Pool</vt:lpstr>
      <vt:lpstr>Employees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theresa</cp:lastModifiedBy>
  <cp:lastPrinted>2013-03-12T18:25:05Z</cp:lastPrinted>
  <dcterms:created xsi:type="dcterms:W3CDTF">2007-07-11T17:02:23Z</dcterms:created>
  <dcterms:modified xsi:type="dcterms:W3CDTF">2013-04-02T16:03:51Z</dcterms:modified>
</cp:coreProperties>
</file>